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80" windowHeight="7965" tabRatio="645" activeTab="0"/>
  </bookViews>
  <sheets>
    <sheet name="Titre" sheetId="1" r:id="rId1"/>
    <sheet name="Table de synthèse des tableaux" sheetId="2" r:id="rId2"/>
    <sheet name="1_Remarque" sheetId="3" r:id="rId3"/>
    <sheet name="2_Les 4 cas" sheetId="4" r:id="rId4"/>
    <sheet name="3_Recap Taux pour EMTR" sheetId="5" r:id="rId5"/>
    <sheet name="4_Dernière synthèse" sheetId="6" r:id="rId6"/>
    <sheet name="5_Synthèse calcul benefice net" sheetId="7" r:id="rId7"/>
    <sheet name="6_Synthèse calcul taux_et cfis" sheetId="8" r:id="rId8"/>
    <sheet name="7_Comp_montant_charge fiscal" sheetId="9" r:id="rId9"/>
    <sheet name="8_Calcul des montants d'impôt" sheetId="10" r:id="rId10"/>
    <sheet name="9_Recap  t' pour montant" sheetId="11" r:id="rId11"/>
    <sheet name="10_ t' pour version texte" sheetId="12" r:id="rId12"/>
    <sheet name="11_Calcul des t' avec capital" sheetId="13" r:id="rId13"/>
    <sheet name="12_Calcul des t' sans capital" sheetId="14" r:id="rId14"/>
    <sheet name="13_Recap_ tc et tk nominaux" sheetId="15" r:id="rId15"/>
    <sheet name="14_tc_Taux nominal bénéfice" sheetId="16" r:id="rId16"/>
    <sheet name="15_tk_Taux nominal capital" sheetId="17" r:id="rId17"/>
    <sheet name="16_Multiplicateurs " sheetId="18" r:id="rId18"/>
    <sheet name="17_Multiplicateurs publiés" sheetId="19" r:id="rId19"/>
    <sheet name="18_ Données taux bénéfice" sheetId="20" r:id="rId20"/>
    <sheet name="19_Données taux capital" sheetId="21" r:id="rId21"/>
    <sheet name="20_Législation capital canton" sheetId="22" r:id="rId22"/>
    <sheet name="21_Calc. tk pr comp cfisc_91-00" sheetId="23" r:id="rId23"/>
    <sheet name="22_Calcul tk pr comp cfis_01-04" sheetId="24" r:id="rId24"/>
    <sheet name="23_législation bénéfice" sheetId="25" r:id="rId25"/>
    <sheet name="24_calcul tb_1991-2000" sheetId="26" r:id="rId26"/>
    <sheet name="25_Calcul direct tb 91-2000" sheetId="27" r:id="rId27"/>
    <sheet name="26_Recalcul direct tb 91-2000" sheetId="28" r:id="rId28"/>
    <sheet name="27_Calcul tb 2001-2004 " sheetId="29" r:id="rId29"/>
    <sheet name="28_Calcul direct tb 2001-2004" sheetId="30" r:id="rId30"/>
    <sheet name="29_Recalcul direct tb 2001-2004" sheetId="31" r:id="rId31"/>
    <sheet name="30_Législation des taux_Conf" sheetId="32" r:id="rId32"/>
    <sheet name="31_conf calcul_M1" sheetId="33" r:id="rId33"/>
    <sheet name="32_conf_Calcul_M2" sheetId="34" r:id="rId34"/>
    <sheet name="33_retrouver tb quand tk donné" sheetId="35" r:id="rId35"/>
    <sheet name="34_retrouver tk quand tc donné" sheetId="36" r:id="rId36"/>
  </sheets>
  <definedNames/>
  <calcPr fullCalcOnLoad="1"/>
</workbook>
</file>

<file path=xl/comments14.xml><?xml version="1.0" encoding="utf-8"?>
<comments xmlns="http://schemas.openxmlformats.org/spreadsheetml/2006/main">
  <authors>
    <author>col-loc_adm</author>
  </authors>
  <commentList>
    <comment ref="C1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t'f avec capital = tcf(1-tk)/(1+tc) + tkf
t'f sans capital = tcf/(1+tc)</t>
        </r>
      </text>
    </comment>
    <comment ref="C24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t'f avec capital = tcf(1-tk)/(1+tc) + tkf
t'f sans capital = tcf/(1+tc)</t>
        </r>
      </text>
    </comment>
  </commentList>
</comments>
</file>

<file path=xl/comments25.xml><?xml version="1.0" encoding="utf-8"?>
<comments xmlns="http://schemas.openxmlformats.org/spreadsheetml/2006/main">
  <authors>
    <author>col-loc_adm</author>
  </authors>
  <commentList>
    <comment ref="B7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2% für den 4.5% des Verhältniskapitals nicht übersteigenden Teil des Reingewinnes oder wenn das Verhältniskapital 250 000 Fr nicht erreicht für den 11 250 F nicht übersteigendenTeil des Reingewinns</t>
        </r>
      </text>
    </comment>
    <comment ref="B8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3.5% für die weiteren 50 000 Reingewinn
3.5 % sur les prochains 50 000 francs du bénéfice net</t>
        </r>
      </text>
    </comment>
    <comment ref="B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5% Für den restlichen Reingewinn
5% sur le solde du bénéfice net</t>
        </r>
      </text>
    </comment>
  </commentList>
</comments>
</file>

<file path=xl/comments32.xml><?xml version="1.0" encoding="utf-8"?>
<comments xmlns="http://schemas.openxmlformats.org/spreadsheetml/2006/main">
  <authors>
    <author>col-loc_adm</author>
  </authors>
  <commentList>
    <comment ref="B6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Le taux de l'impôt dépend d'un barême progressif à 3 taux en fonction du rendement (Rapport entre les bénéfices et le capital plus les réserves.</t>
        </r>
      </text>
    </comment>
  </commentList>
</comments>
</file>

<file path=xl/comments36.xml><?xml version="1.0" encoding="utf-8"?>
<comments xmlns="http://schemas.openxmlformats.org/spreadsheetml/2006/main">
  <authors>
    <author>col-loc_adm</author>
  </authors>
  <commentList>
    <comment ref="C17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Pour calculer en pourcentage du bénéfice on multiplie par 1/r</t>
        </r>
      </text>
    </comment>
    <comment ref="C1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Pour calculer en pourcentage du capital on divise par 1/r</t>
        </r>
      </text>
    </comment>
  </commentList>
</comments>
</file>

<file path=xl/sharedStrings.xml><?xml version="1.0" encoding="utf-8"?>
<sst xmlns="http://schemas.openxmlformats.org/spreadsheetml/2006/main" count="1058" uniqueCount="555">
  <si>
    <t>Tableau 20 : Barème de l'impôt sur le capital BE de 1991 à nos jours</t>
  </si>
  <si>
    <t>Tableau 21 : Calcul de l'impôt sur le capital pour un capital de deux millions et pour un capital d'un million de 1991 à 2000</t>
  </si>
  <si>
    <t>Tableau 22 : Calcul de l'impôt sur le capital pour un capital de deux millions et pour un capital d'un million de 2001 à nos jours</t>
  </si>
  <si>
    <r>
      <t>Tableau 23 : Barème de l'impôt sur le bénéfice (t</t>
    </r>
    <r>
      <rPr>
        <b/>
        <vertAlign val="subscript"/>
        <sz val="10"/>
        <rFont val="Times New Roman"/>
        <family val="1"/>
      </rPr>
      <t>cr</t>
    </r>
    <r>
      <rPr>
        <b/>
        <sz val="10"/>
        <rFont val="Times New Roman"/>
        <family val="1"/>
      </rPr>
      <t>) à Berne</t>
    </r>
  </si>
  <si>
    <t xml:space="preserve"> Tableau 24 : Calcul du taux de base cantonal d'imposition des sociétés        1991-2000</t>
  </si>
  <si>
    <t xml:space="preserve"> Tableau 25 : Calcul direct du taux de base cantonal d'imposition des sociétés        1991-2000</t>
  </si>
  <si>
    <t xml:space="preserve"> Tableau 26 : Calcul direct du taux de base cantonal d'imposition des sociétés        1991-2000</t>
  </si>
  <si>
    <t xml:space="preserve"> Tableau 27 : Calcul du taux de base cantonal d'imposition des sociétés 2001-2004                                                                                                                                                                 </t>
  </si>
  <si>
    <t xml:space="preserve"> Tableau 28 : Calcul direct du taux de base cantonal d'imposition des sociétés 2001-2004                                                                                                                                                                 </t>
  </si>
  <si>
    <t xml:space="preserve"> Tableau 29 : Calcul direct du taux de base cantonal d'imposition des sociétés 2001-2004                                                                                                                                                                 </t>
  </si>
  <si>
    <t>Tableau 30 : Le barème fédéral d'imposition des sociétés de 1991 à nos jours</t>
  </si>
  <si>
    <t>Tableau 31 : Méthode 1 du calcul du taux fédéral d'imposition des sociétés (y compris le taux d'impôt sur le capital)</t>
  </si>
  <si>
    <t>Tableau 32 : Méthode 2 du calcul du taux fédéral d'imposition des sociétés (y compris le taux d'impôt sur le capital)</t>
  </si>
  <si>
    <r>
      <t xml:space="preserve">Tableau 33 : Méthode pour retrouver le taux de base maximal d'imposition régional du bénéfice                                                          </t>
    </r>
    <r>
      <rPr>
        <b/>
        <sz val="12"/>
        <rFont val="Times New Roman"/>
        <family val="1"/>
      </rPr>
      <t xml:space="preserve">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=(t’-t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)/(1-t’) avec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cr</t>
    </r>
  </si>
  <si>
    <r>
      <t xml:space="preserve">Tableau 34 : Méthode pour retrouver le taux de base d'imposition du capital                                                                           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t'(1+t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-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 avec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cr</t>
    </r>
  </si>
  <si>
    <t>Dernière synthèse</t>
  </si>
  <si>
    <t>4_Dernière synthèse'!A1</t>
  </si>
  <si>
    <t>5_Synthèse calcul benefice net'!A1</t>
  </si>
  <si>
    <t>6_Synthèse calcul taux_et cfis'!A1</t>
  </si>
  <si>
    <t>7_Comp_montant_charge fiscal'!A1</t>
  </si>
  <si>
    <t>8_Calcul des montants d''impôt'!A1</t>
  </si>
  <si>
    <t>Recalcul direct 91-2000</t>
  </si>
  <si>
    <t>Calcul direct du taux de base cantonal d'imposition des sociétés 2001-2004</t>
  </si>
  <si>
    <t>Recalcul direct 2001-2004</t>
  </si>
  <si>
    <t>9_Recap  t'' pour montant'!A1</t>
  </si>
  <si>
    <t>10_ t'' pour version texte'!A1</t>
  </si>
  <si>
    <t>11_Calcul des t'' avec capital'!A1</t>
  </si>
  <si>
    <t>12_Calcul des t'' sans capital'!A1</t>
  </si>
  <si>
    <t>13_Recap_ tc et tk nominaux'!A1</t>
  </si>
  <si>
    <t>14_tc_Taux nominal bénéfice'!A1</t>
  </si>
  <si>
    <t>15_tk_Taux nominal capital'!A1</t>
  </si>
  <si>
    <t>16_Multiplicateurs '!A1</t>
  </si>
  <si>
    <t>17_Multiplicateurs publiés'!A1</t>
  </si>
  <si>
    <t>18_ Données taux bénéfice'!A1</t>
  </si>
  <si>
    <t>19_Données taux capital'!A1</t>
  </si>
  <si>
    <t>20_Législation capital canton'!A1</t>
  </si>
  <si>
    <t>21_Calc. tk pr comp cfisc_91-00'!A1</t>
  </si>
  <si>
    <t>22_Calcul tk pr comp cfis_01-04'!A1</t>
  </si>
  <si>
    <t>23_législation bénéfice'!A1</t>
  </si>
  <si>
    <t>24_calcul tb_1991-2000'!A1</t>
  </si>
  <si>
    <t>25_Calcul direct tb 91-2000'!A1</t>
  </si>
  <si>
    <t>26_Recalcul direct tb 91-2000'!A1</t>
  </si>
  <si>
    <t>27_Calcul tb 2001-2004 '!A1</t>
  </si>
  <si>
    <t>28_Calcul direct tb 2001-2004'!A1</t>
  </si>
  <si>
    <t>29_Recalcul direct tb 2001-2004'!A1</t>
  </si>
  <si>
    <t>30_Législation des taux_Conf'!A1</t>
  </si>
  <si>
    <t>31_conf calcul_M1'!A1</t>
  </si>
  <si>
    <t>32_conf_Calcul_M2'!A1</t>
  </si>
  <si>
    <t>33_retrouver tb quand tk donné'!A1</t>
  </si>
  <si>
    <t>34_retrouver tk quand tc donné'!A1</t>
  </si>
  <si>
    <t>Comparaison des montants d'impôt effectifs calculés et des montants de la publication de la charge fiscale</t>
  </si>
  <si>
    <t>Calcul direct du taux de base cantonal d'imposition des sociétés        1991-2000</t>
  </si>
  <si>
    <t xml:space="preserve"> Barème de l'impôt sur le capital BE de 1991 à nos jours</t>
  </si>
  <si>
    <t>Calcul de l'impôt sur le capital pour un capital de deux millions et pour un capital d'un million de 1991 à 2000</t>
  </si>
  <si>
    <t>Calcul de l'impôt sur le capital pour un capital de deux millions et pour un capital d'un million de 2001 à nos jours</t>
  </si>
  <si>
    <t xml:space="preserve"> Barème de l'impôt sur le bénéfice (tcr) à Berne</t>
  </si>
  <si>
    <t>Calcul du taux de base cantonal d'imposition des sociétés        1991-2000</t>
  </si>
  <si>
    <t xml:space="preserve">Calcul du taux de base cantonal d'imposition des sociétés 2001-2004                                                                                                                                                                 </t>
  </si>
  <si>
    <t>2001-2004: Barème à plusieur paliers selon l'intensité de rendement</t>
  </si>
  <si>
    <t>sur les 20% du bénéfice imposable</t>
  </si>
  <si>
    <t>Calcul du taux d'imposition global nominal du bénéfice des sociétés (Confédération, canton, commune, paroisse)</t>
  </si>
  <si>
    <t>Imposition du bénéfice et du capital</t>
  </si>
  <si>
    <t>Variable</t>
  </si>
  <si>
    <t>Taux nominaux</t>
  </si>
  <si>
    <t>Taux effectifs d'imposition (Déduction comprises)</t>
  </si>
  <si>
    <t>Modèle avec imposition du capital</t>
  </si>
  <si>
    <r>
      <t>t</t>
    </r>
    <r>
      <rPr>
        <b/>
        <vertAlign val="subscript"/>
        <sz val="12"/>
        <rFont val="Times New Roman"/>
        <family val="1"/>
      </rPr>
      <t>kf_légal</t>
    </r>
    <r>
      <rPr>
        <b/>
        <sz val="12"/>
        <rFont val="Times New Roman"/>
        <family val="1"/>
      </rPr>
      <t xml:space="preserve"> ou t</t>
    </r>
    <r>
      <rPr>
        <b/>
        <vertAlign val="subscript"/>
        <sz val="12"/>
        <rFont val="Times New Roman"/>
        <family val="1"/>
      </rPr>
      <t>kf_légal/k</t>
    </r>
  </si>
  <si>
    <t>(10) Taux d'impôt fédéral sur le capital (en pourcentage du capital)</t>
  </si>
  <si>
    <t>(11) Taux d'imposition fédéral du capital en pourcentage du bénéfice</t>
  </si>
  <si>
    <r>
      <t>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kf_légal </t>
    </r>
    <r>
      <rPr>
        <b/>
        <sz val="12"/>
        <rFont val="Times New Roman"/>
        <family val="1"/>
      </rPr>
      <t>* 1/r</t>
    </r>
  </si>
  <si>
    <t>(12) Taux légal régional d'imposition du capital  (en pourcentage du capital)</t>
  </si>
  <si>
    <r>
      <t>t</t>
    </r>
    <r>
      <rPr>
        <b/>
        <vertAlign val="subscript"/>
        <sz val="12"/>
        <color indexed="8"/>
        <rFont val="Times New Roman"/>
        <family val="1"/>
      </rPr>
      <t>kr_légal</t>
    </r>
    <r>
      <rPr>
        <b/>
        <sz val="12"/>
        <color indexed="8"/>
        <rFont val="Times New Roman"/>
        <family val="1"/>
      </rPr>
      <t xml:space="preserve"> ou t</t>
    </r>
    <r>
      <rPr>
        <b/>
        <vertAlign val="subscript"/>
        <sz val="12"/>
        <color indexed="8"/>
        <rFont val="Times New Roman"/>
        <family val="1"/>
      </rPr>
      <t>kr_légal/k</t>
    </r>
  </si>
  <si>
    <t>(13) Taux régional d'imposition du capital en pourcentage du capital</t>
  </si>
  <si>
    <t>(14) Taux régional d'imposition du capital en pourcentage du bénéfice</t>
  </si>
  <si>
    <t>(16) Taux nominal d'imposition du capital (fédéral et régional) en pourcentage du bénéfice</t>
  </si>
  <si>
    <t>(17) Taux effectif d'imposition du bénéfice</t>
  </si>
  <si>
    <t>(18) Taux effectif d'imposition du capital pour un capital deux fois supérieur au bénéfice</t>
  </si>
  <si>
    <t>(19) Taux effectif (bénéfice et capital)</t>
  </si>
  <si>
    <t>(20) Données de la Charge fiscale</t>
  </si>
  <si>
    <t>(21) Ecart statistique dû aux arrondis</t>
  </si>
  <si>
    <r>
      <t xml:space="preserve">t' </t>
    </r>
    <r>
      <rPr>
        <b/>
        <vertAlign val="subscript"/>
        <sz val="10"/>
        <rFont val="Times New Roman"/>
        <family val="1"/>
      </rPr>
      <t>théorique</t>
    </r>
    <r>
      <rPr>
        <b/>
        <sz val="10"/>
        <rFont val="Times New Roman"/>
        <family val="1"/>
      </rPr>
      <t xml:space="preserve"> - t' </t>
    </r>
    <r>
      <rPr>
        <b/>
        <vertAlign val="subscript"/>
        <sz val="10"/>
        <rFont val="Times New Roman"/>
        <family val="1"/>
      </rPr>
      <t>charge fiscale</t>
    </r>
  </si>
  <si>
    <r>
      <t>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kr/k</t>
    </r>
    <r>
      <rPr>
        <b/>
        <sz val="12"/>
        <rFont val="Times New Roman"/>
        <family val="1"/>
      </rPr>
      <t xml:space="preserve"> * 1/r = M*t</t>
    </r>
    <r>
      <rPr>
        <b/>
        <vertAlign val="subscript"/>
        <sz val="12"/>
        <rFont val="Times New Roman"/>
        <family val="1"/>
      </rPr>
      <t>kr_légal</t>
    </r>
    <r>
      <rPr>
        <b/>
        <sz val="12"/>
        <rFont val="Times New Roman"/>
        <family val="1"/>
      </rPr>
      <t xml:space="preserve"> * 1/r</t>
    </r>
  </si>
  <si>
    <r>
      <t>t</t>
    </r>
    <r>
      <rPr>
        <b/>
        <vertAlign val="subscript"/>
        <sz val="12"/>
        <rFont val="Times New Roman"/>
        <family val="1"/>
      </rPr>
      <t>k/k=</t>
    </r>
    <r>
      <rPr>
        <b/>
        <sz val="12"/>
        <rFont val="Times New Roman"/>
        <family val="1"/>
      </rPr>
      <t xml:space="preserve"> t</t>
    </r>
    <r>
      <rPr>
        <b/>
        <vertAlign val="subscript"/>
        <sz val="12"/>
        <rFont val="Times New Roman"/>
        <family val="1"/>
      </rPr>
      <t>kf/k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>kr/k</t>
    </r>
  </si>
  <si>
    <t>(17)Taux global d'imposition y compris impôt sur le capital en pourcentage du bénéfice</t>
  </si>
  <si>
    <t xml:space="preserve">(18) Taux effectif d'imposition des sociétés y compris l'impôt sur le capital     </t>
  </si>
  <si>
    <t xml:space="preserve">(19) Autre formulation du taux effectif d'imposition des sociétés y compris l'impôt sur le capital     </t>
  </si>
  <si>
    <t xml:space="preserve">(20) Taux effectif fédéral  d'imposition des sociétés (bénéfice et capital)                    </t>
  </si>
  <si>
    <t xml:space="preserve">(21) Autre formulation du taux effectif fédéral d'imposition des sociétés (bénéfice et capital)                    </t>
  </si>
  <si>
    <t>(22) Taux effectif fédéral d'imposition du bénéfice</t>
  </si>
  <si>
    <r>
      <t>t</t>
    </r>
    <r>
      <rPr>
        <b/>
        <vertAlign val="subscript"/>
        <sz val="12"/>
        <rFont val="Times New Roman"/>
        <family val="1"/>
      </rPr>
      <t>cf</t>
    </r>
  </si>
  <si>
    <t>B</t>
  </si>
  <si>
    <t>K</t>
  </si>
  <si>
    <t>Taux de base</t>
  </si>
  <si>
    <t>Surtaxe sur les bénéfices représentant un rendement de plus de 8%</t>
  </si>
  <si>
    <t>(1) Capital et réserves</t>
  </si>
  <si>
    <t>(2) Bénéfice imposable</t>
  </si>
  <si>
    <t>(3) Taux de rendement       (1)/(2)</t>
  </si>
  <si>
    <t>(4) Taux de base d'impôt sur le bénéfice imposable</t>
  </si>
  <si>
    <t>(5) Premiére tranche d'impôt versé : 4% sur le bénéfice imposable   (4)*(2)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</si>
  <si>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( t</t>
    </r>
    <r>
      <rPr>
        <b/>
        <vertAlign val="subscript"/>
        <sz val="12"/>
        <rFont val="Times New Roman"/>
        <family val="1"/>
      </rPr>
      <t xml:space="preserve">c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>+t'</t>
    </r>
    <r>
      <rPr>
        <b/>
        <vertAlign val="subscript"/>
        <sz val="12"/>
        <rFont val="Times New Roman"/>
        <family val="1"/>
      </rPr>
      <t>cr</t>
    </r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</si>
  <si>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 +t</t>
    </r>
    <r>
      <rPr>
        <b/>
        <vertAlign val="subscript"/>
        <sz val="12"/>
        <rFont val="Times New Roman"/>
        <family val="1"/>
      </rPr>
      <t>kr</t>
    </r>
  </si>
  <si>
    <r>
      <t>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</t>
    </r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</si>
  <si>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( t</t>
    </r>
    <r>
      <rPr>
        <b/>
        <vertAlign val="subscript"/>
        <sz val="12"/>
        <rFont val="Times New Roman"/>
        <family val="1"/>
      </rPr>
      <t xml:space="preserve">c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+t'</t>
    </r>
    <r>
      <rPr>
        <b/>
        <vertAlign val="subscript"/>
        <sz val="12"/>
        <rFont val="Times New Roman"/>
        <family val="1"/>
      </rPr>
      <t>cr</t>
    </r>
  </si>
  <si>
    <r>
      <t>t' = t/(1+t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ou encore : t’= (1-t’)t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 xml:space="preserve">k </t>
    </r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</si>
  <si>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(1-t') + t</t>
    </r>
    <r>
      <rPr>
        <b/>
        <vertAlign val="subscript"/>
        <sz val="12"/>
        <rFont val="Times New Roman"/>
        <family val="1"/>
      </rPr>
      <t xml:space="preserve">kf                                                                            </t>
    </r>
    <r>
      <rPr>
        <b/>
        <sz val="12"/>
        <rFont val="Times New Roman"/>
        <family val="1"/>
      </rPr>
      <t>ou encore : 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(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</si>
  <si>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 +t</t>
    </r>
    <r>
      <rPr>
        <b/>
        <vertAlign val="subscript"/>
        <sz val="12"/>
        <rFont val="Times New Roman"/>
        <family val="1"/>
      </rPr>
      <t xml:space="preserve">kr                                                                               </t>
    </r>
    <r>
      <rPr>
        <b/>
        <sz val="12"/>
        <rFont val="Times New Roman"/>
        <family val="1"/>
      </rPr>
      <t>ou encore :  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</si>
  <si>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t xml:space="preserve">(19) Taux effectif fédéral  d'imposition des sociétés (bénéfice et capital)                    </t>
  </si>
  <si>
    <t>(20) Taux effectif fédéral d'imposition du bénéfice</t>
  </si>
  <si>
    <t xml:space="preserve">(21) Taux effectif régional  d'imposition des sociétés (bénéfice et capital)                    </t>
  </si>
  <si>
    <t>(22) Taux effectif régional d'imposition du bénéfice</t>
  </si>
  <si>
    <t>(23)  Taux effectif global d'imposition du bénéfice (pour EMTR)</t>
  </si>
  <si>
    <t>(24) Taux effectif global d'imposition du capital (pour EMTR)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</si>
  <si>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</si>
  <si>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t'</t>
    </r>
    <r>
      <rPr>
        <b/>
        <vertAlign val="subscript"/>
        <sz val="10"/>
        <rFont val="Times New Roman"/>
        <family val="1"/>
      </rPr>
      <t xml:space="preserve"> charge fiscale</t>
    </r>
  </si>
  <si>
    <t xml:space="preserve">(3) Taux de rendement </t>
  </si>
  <si>
    <t>r</t>
  </si>
  <si>
    <t>(4) Inverse du taux de rendement</t>
  </si>
  <si>
    <t>1/r</t>
  </si>
  <si>
    <t>(3) Multiples pour l'imposition du bénéfice au niveau régional</t>
  </si>
  <si>
    <t>(4) Taux d'impôt nominal global pour l'imposition du bénéfice au niveau régional</t>
  </si>
  <si>
    <t>(5) Taux global nominal d'imposition sur le bénéfice sans l'impôt sur le capital</t>
  </si>
  <si>
    <t xml:space="preserve">(6) Taux global effectif d'imposition </t>
  </si>
  <si>
    <t>(7) Taux effectif fédéral d'imposition</t>
  </si>
  <si>
    <t>(8) Taux effectif régional d'imposition</t>
  </si>
  <si>
    <t xml:space="preserve">(23) Taux effectif régional  d'imposition des sociétés (bénéfice et capital)                    </t>
  </si>
  <si>
    <t xml:space="preserve">(24) Autre formulation du taux effectif régional d'imposition des sociétés (bénéfice et capital)                    </t>
  </si>
  <si>
    <t>(25) Taux effectif régional d'imposition du bénéfice</t>
  </si>
  <si>
    <t>(26) Total</t>
  </si>
  <si>
    <t>(27)  Taux effectif global d'imposition du bénéfice (pour EMTR)</t>
  </si>
  <si>
    <t>(28) Taux effectif global d'imposition du capital (pour EMTR)</t>
  </si>
  <si>
    <t>(6) Taux d'impôt légal régional maximal</t>
  </si>
  <si>
    <t>(7) Multiples pour l'imposition du bénéfice et du capital au niveau régional</t>
  </si>
  <si>
    <t>(8) Taux d'impôt nominal global pour l'imposition du bénéfice au niveau régional (6)*(7)</t>
  </si>
  <si>
    <t>(9) Taux global nominal d'imposition sur le bénéfice (5)+(8) sans l'impôt sur le capital</t>
  </si>
  <si>
    <t>(11) Taux d'imposition au niveau fédéral en pourcentage du bénéfice</t>
  </si>
  <si>
    <t>(1) Taux d'impôt fédéral légal sur le bénéfice</t>
  </si>
  <si>
    <t>(2) Taux de base légal d'imposition du bénéfice au niveau régional</t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</si>
  <si>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</t>
    </r>
    <r>
      <rPr>
        <b/>
        <sz val="12"/>
        <rFont val="Times New Roman"/>
        <family val="1"/>
      </rPr>
      <t>(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</si>
  <si>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(1-t') + t</t>
    </r>
    <r>
      <rPr>
        <b/>
        <vertAlign val="subscript"/>
        <sz val="12"/>
        <rFont val="Times New Roman"/>
        <family val="1"/>
      </rPr>
      <t>kf</t>
    </r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</si>
  <si>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 xml:space="preserve">= 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</si>
  <si>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r>
      <t>Pour vérification : t'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+ t'</t>
    </r>
    <r>
      <rPr>
        <b/>
        <vertAlign val="subscript"/>
        <sz val="12"/>
        <rFont val="Times New Roman"/>
        <family val="1"/>
      </rPr>
      <t>r</t>
    </r>
  </si>
  <si>
    <r>
      <t>t' = t/(1+t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</si>
  <si>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t’= (1-t’)t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>+ t</t>
    </r>
    <r>
      <rPr>
        <b/>
        <vertAlign val="subscript"/>
        <sz val="12"/>
        <color indexed="8"/>
        <rFont val="Times"/>
        <family val="1"/>
      </rPr>
      <t>k</t>
    </r>
    <r>
      <rPr>
        <b/>
        <sz val="12"/>
        <color indexed="8"/>
        <rFont val="Times New Roman"/>
        <family val="1"/>
      </rPr>
      <t xml:space="preserve"> 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</si>
  <si>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kr</t>
    </r>
  </si>
  <si>
    <t>Taux effectif d'imposition du capital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</si>
  <si>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</si>
  <si>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>= (t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</si>
  <si>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</t>
    </r>
  </si>
  <si>
    <r>
      <t>t</t>
    </r>
    <r>
      <rPr>
        <b/>
        <vertAlign val="subscript"/>
        <sz val="12"/>
        <color indexed="8"/>
        <rFont val="Times New Roman"/>
        <family val="1"/>
      </rPr>
      <t>cf</t>
    </r>
  </si>
  <si>
    <r>
      <t>t</t>
    </r>
    <r>
      <rPr>
        <b/>
        <vertAlign val="subscript"/>
        <sz val="12"/>
        <color indexed="8"/>
        <rFont val="Times New Roman"/>
        <family val="1"/>
      </rPr>
      <t>b_légal</t>
    </r>
  </si>
  <si>
    <r>
      <t>t</t>
    </r>
    <r>
      <rPr>
        <b/>
        <vertAlign val="subscript"/>
        <sz val="12"/>
        <color indexed="8"/>
        <rFont val="Times New Roman"/>
        <family val="1"/>
      </rPr>
      <t>cr</t>
    </r>
    <r>
      <rPr>
        <b/>
        <sz val="12"/>
        <color indexed="8"/>
        <rFont val="Times New Roman"/>
        <family val="1"/>
      </rPr>
      <t>= M t</t>
    </r>
    <r>
      <rPr>
        <b/>
        <vertAlign val="subscript"/>
        <sz val="12"/>
        <color indexed="8"/>
        <rFont val="Times New Roman"/>
        <family val="1"/>
      </rPr>
      <t>b_légal</t>
    </r>
  </si>
  <si>
    <r>
      <t>t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 xml:space="preserve"> = t</t>
    </r>
    <r>
      <rPr>
        <b/>
        <vertAlign val="subscript"/>
        <sz val="12"/>
        <color indexed="8"/>
        <rFont val="Times New Roman"/>
        <family val="1"/>
      </rPr>
      <t>cf</t>
    </r>
    <r>
      <rPr>
        <b/>
        <sz val="12"/>
        <color indexed="8"/>
        <rFont val="Times New Roman"/>
        <family val="1"/>
      </rPr>
      <t xml:space="preserve"> +t</t>
    </r>
    <r>
      <rPr>
        <b/>
        <vertAlign val="subscript"/>
        <sz val="12"/>
        <color indexed="8"/>
        <rFont val="Times New Roman"/>
        <family val="1"/>
      </rPr>
      <t>cr</t>
    </r>
  </si>
  <si>
    <t>(16) Total impôt à payer sur le bénéfice</t>
  </si>
  <si>
    <t>(22) Taux d'impôt effectif du capital en rapport au bénéfice (21)/(1)</t>
  </si>
  <si>
    <r>
      <t>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kf_légal</t>
    </r>
    <r>
      <rPr>
        <b/>
        <sz val="12"/>
        <rFont val="Times New Roman"/>
        <family val="1"/>
      </rPr>
      <t xml:space="preserve"> * 1/r</t>
    </r>
  </si>
  <si>
    <t>(5)Taux d'impôt fédéral légal sur le bénéfice</t>
  </si>
  <si>
    <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kf 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>kr</t>
    </r>
  </si>
  <si>
    <r>
      <t>t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</si>
  <si>
    <r>
      <t xml:space="preserve"> t</t>
    </r>
    <r>
      <rPr>
        <b/>
        <vertAlign val="subscript"/>
        <sz val="12"/>
        <rFont val="Times New Roman"/>
        <family val="1"/>
      </rPr>
      <t>kf</t>
    </r>
  </si>
  <si>
    <r>
      <t>t</t>
    </r>
    <r>
      <rPr>
        <b/>
        <vertAlign val="subscript"/>
        <sz val="12"/>
        <rFont val="Times New Roman"/>
        <family val="1"/>
      </rPr>
      <t>kr</t>
    </r>
  </si>
  <si>
    <r>
      <t>t</t>
    </r>
    <r>
      <rPr>
        <b/>
        <vertAlign val="subscript"/>
        <sz val="12"/>
        <rFont val="Times New Roman"/>
        <family val="1"/>
      </rPr>
      <t>kf_légal ou</t>
    </r>
    <r>
      <rPr>
        <b/>
        <sz val="12"/>
        <rFont val="Times New Roman"/>
        <family val="1"/>
      </rPr>
      <t xml:space="preserve"> t</t>
    </r>
    <r>
      <rPr>
        <b/>
        <vertAlign val="subscript"/>
        <sz val="12"/>
        <rFont val="Times New Roman"/>
        <family val="1"/>
      </rPr>
      <t>kf_légal/k</t>
    </r>
  </si>
  <si>
    <t>(10) Taux d'impôt fédéral sur le capital en pourcentage du capital</t>
  </si>
  <si>
    <t>(12) Taux légal régional d'imposition du capital en pourcentage du capital</t>
  </si>
  <si>
    <r>
      <t>t</t>
    </r>
    <r>
      <rPr>
        <b/>
        <vertAlign val="subscript"/>
        <sz val="12"/>
        <color indexed="8"/>
        <rFont val="Times New Roman"/>
        <family val="1"/>
      </rPr>
      <t xml:space="preserve">kr_légal ou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>kr_légal/k</t>
    </r>
  </si>
  <si>
    <r>
      <t xml:space="preserve">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>kr/k</t>
    </r>
    <r>
      <rPr>
        <b/>
        <sz val="12"/>
        <color indexed="8"/>
        <rFont val="Times New Roman"/>
        <family val="1"/>
      </rPr>
      <t xml:space="preserve"> = M*t</t>
    </r>
    <r>
      <rPr>
        <b/>
        <vertAlign val="subscript"/>
        <sz val="12"/>
        <color indexed="8"/>
        <rFont val="Times New Roman"/>
        <family val="1"/>
      </rPr>
      <t>kr_légal</t>
    </r>
  </si>
  <si>
    <t>(15) Taux nominal d'imposition du capital (fédéral et régional) en pourcentage du capital</t>
  </si>
  <si>
    <r>
      <t>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 xml:space="preserve">(1-t') </t>
    </r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</si>
  <si>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(1-t') + t</t>
    </r>
    <r>
      <rPr>
        <b/>
        <vertAlign val="subscript"/>
        <sz val="12"/>
        <rFont val="Times New Roman"/>
        <family val="1"/>
      </rPr>
      <t xml:space="preserve">kf                                                   </t>
    </r>
    <r>
      <rPr>
        <b/>
        <sz val="12"/>
        <rFont val="Times New Roman"/>
        <family val="1"/>
      </rPr>
      <t>ou encore : 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(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</si>
  <si>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r>
      <t>t' = t/(1+t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                                               ou encore  : t’= (1-t’)t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 xml:space="preserve">k </t>
    </r>
  </si>
  <si>
    <r>
      <t>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</si>
  <si>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</si>
  <si>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</si>
  <si>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 xml:space="preserve">r </t>
    </r>
    <r>
      <rPr>
        <b/>
        <sz val="12"/>
        <rFont val="Times New Roman"/>
        <family val="1"/>
      </rPr>
      <t>= t'r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</si>
  <si>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= 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</si>
  <si>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</si>
  <si>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</si>
  <si>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*B</t>
    </r>
  </si>
  <si>
    <t xml:space="preserve">(1) Taux effectif d'imposition des sociétés y compris l'impôt sur le capital     </t>
  </si>
  <si>
    <t xml:space="preserve">(2) Taux effectif fédéral  d'imposition des sociétés (bénéfice et capital)                    </t>
  </si>
  <si>
    <t>(3) Taux effectif fédéral d'imposition du bénéfice</t>
  </si>
  <si>
    <t>(4) Taux d'imposition fédéral sur le capital</t>
  </si>
  <si>
    <t xml:space="preserve">(5) Taux effectif régional  d'imposition des sociétés (bénéfice et capital)                    </t>
  </si>
  <si>
    <t>(6) Taux effectif régional d'imposition du bénéfice</t>
  </si>
  <si>
    <t>(7) Taux d'imposition regional sur le capital en pourcent du bénéfice</t>
  </si>
  <si>
    <t>(8)  Taux effectif global d'imposition du bénéfice (pour EMTR)</t>
  </si>
  <si>
    <t>(9) Taux effectif global d'imposition du capital (pour EMTR)</t>
  </si>
  <si>
    <t>(6) Taux de déduction</t>
  </si>
  <si>
    <t>(7) Premier montant à déduire Taux de déduction* Capital (6)*(1)</t>
  </si>
  <si>
    <t>(8)Montant 1 restant à être imposé : Bénéfice imposable - Montant à déduire (2)- (7)</t>
  </si>
  <si>
    <t>(9) Taux d'impot sur le bénéfice imposable</t>
  </si>
  <si>
    <t>(10) Deuxième tranche d'impôt versé 5 % sur le montant 1     (9)*(8)</t>
  </si>
  <si>
    <t>(11) Taux de déduction</t>
  </si>
  <si>
    <t>(12) Deuxiéme montant à déduire Taux de déduction * Capital (11)*(1)</t>
  </si>
  <si>
    <t>(13)  Montant 2 restant à être imposé : Bénéfice imposable - Deuxième montant à déduire (2)-(12)</t>
  </si>
  <si>
    <t>(14) Taux d'impôt sur le bénéfice imposable</t>
  </si>
  <si>
    <t>(15) Troisième tranche d'impôt versé 5% sur montant restant 2 (14)*(13)</t>
  </si>
  <si>
    <t xml:space="preserve">(17) Le taux de l'impôt ne peut excéder </t>
  </si>
  <si>
    <t>(17) Critére du taux maxi* Bénéfice (17)* (2)</t>
  </si>
  <si>
    <t>(18) Montant total d'impôt à prendre en compte effectivement si (16) inférieur à (17) alors (16) sinon (17)</t>
  </si>
  <si>
    <t>M</t>
  </si>
  <si>
    <t>(19) Taux de l'impôt sur le bénéfice</t>
  </si>
  <si>
    <t>(21) Montant d'impôt à payer sur le capital (20)*(1)</t>
  </si>
  <si>
    <t>(23) Impôt sur les sociétés y compris impôt sur le capital (19)+(22)</t>
  </si>
  <si>
    <t>Le taux de l'impôt ne peut être supérieur à :</t>
  </si>
  <si>
    <t>Variables</t>
  </si>
  <si>
    <t>Surtaxe sur les bénéfices représentant un rendement de plus de 4%</t>
  </si>
  <si>
    <t>T' = t'B</t>
  </si>
  <si>
    <r>
      <t>t</t>
    </r>
    <r>
      <rPr>
        <b/>
        <vertAlign val="subscript"/>
        <sz val="12"/>
        <rFont val="Times New Roman"/>
        <family val="1"/>
      </rPr>
      <t xml:space="preserve">kf_légal </t>
    </r>
    <r>
      <rPr>
        <b/>
        <sz val="12"/>
        <rFont val="Times New Roman"/>
        <family val="1"/>
      </rPr>
      <t>ou t</t>
    </r>
    <r>
      <rPr>
        <b/>
        <vertAlign val="subscript"/>
        <sz val="12"/>
        <rFont val="Times New Roman"/>
        <family val="1"/>
      </rPr>
      <t>kf_légal/k</t>
    </r>
  </si>
  <si>
    <r>
      <t xml:space="preserve"> t</t>
    </r>
    <r>
      <rPr>
        <b/>
        <vertAlign val="subscript"/>
        <sz val="12"/>
        <color indexed="8"/>
        <rFont val="Times New Roman"/>
        <family val="1"/>
      </rPr>
      <t xml:space="preserve">kr/k = </t>
    </r>
    <r>
      <rPr>
        <b/>
        <sz val="12"/>
        <color indexed="8"/>
        <rFont val="Times New Roman"/>
        <family val="1"/>
      </rPr>
      <t>M*t</t>
    </r>
    <r>
      <rPr>
        <b/>
        <vertAlign val="subscript"/>
        <sz val="12"/>
        <color indexed="8"/>
        <rFont val="Times New Roman"/>
        <family val="1"/>
      </rPr>
      <t>kr_légal</t>
    </r>
  </si>
  <si>
    <r>
      <t>t</t>
    </r>
    <r>
      <rPr>
        <b/>
        <vertAlign val="subscript"/>
        <sz val="12"/>
        <rFont val="Times New Roman"/>
        <family val="1"/>
      </rPr>
      <t>k/k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kf/k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>kr/k</t>
    </r>
  </si>
  <si>
    <t>(1) Bénéfice net avant impôt</t>
  </si>
  <si>
    <t>(2) Capital</t>
  </si>
  <si>
    <t>Taux effectifs d'imposition</t>
  </si>
  <si>
    <t>Taux global d'imposition du bénéfice</t>
  </si>
  <si>
    <t>Taux effectif d'imposition du bénéfice</t>
  </si>
  <si>
    <t>Taux nominaux d'imposition</t>
  </si>
  <si>
    <t>Liens dans le fichier</t>
  </si>
  <si>
    <t>(5) Premiére tranche d'impôt versé : 3.63% sur le bénéfice imposable   (4)*(2)</t>
  </si>
  <si>
    <t>(10) Deuxième tranche d'impôt versé 3.63 sur le montant 1     (9)*(8)</t>
  </si>
  <si>
    <t>(13)  Montant 2 restant à être imposé : Montant 1 - Deuxième montant à déduire (8)-(12)</t>
  </si>
  <si>
    <t>(15) Troisième tranche d'impôt versé 4.84% sur montant restant 2 (14)*(13)</t>
  </si>
  <si>
    <t>(16) Total impôt à payer</t>
  </si>
  <si>
    <t>Multiplicateur cantonal</t>
  </si>
  <si>
    <r>
      <t>M</t>
    </r>
    <r>
      <rPr>
        <b/>
        <vertAlign val="subscript"/>
        <sz val="9"/>
        <rFont val="Arial"/>
        <family val="2"/>
      </rPr>
      <t>cant_m</t>
    </r>
  </si>
  <si>
    <t>Multiplicateur communal</t>
  </si>
  <si>
    <r>
      <t>M</t>
    </r>
    <r>
      <rPr>
        <b/>
        <vertAlign val="subscript"/>
        <sz val="9"/>
        <rFont val="Arial"/>
        <family val="2"/>
      </rPr>
      <t>com_m</t>
    </r>
  </si>
  <si>
    <t>Multiplicateur paroissial</t>
  </si>
  <si>
    <r>
      <t>M</t>
    </r>
    <r>
      <rPr>
        <b/>
        <vertAlign val="subscript"/>
        <sz val="9"/>
        <rFont val="Arial"/>
        <family val="2"/>
      </rPr>
      <t>par_m</t>
    </r>
  </si>
  <si>
    <t>Multiplicateur total</t>
  </si>
  <si>
    <r>
      <t>M</t>
    </r>
    <r>
      <rPr>
        <b/>
        <vertAlign val="subscript"/>
        <sz val="9"/>
        <rFont val="Arial"/>
        <family val="2"/>
      </rPr>
      <t>m</t>
    </r>
  </si>
  <si>
    <r>
      <t>t</t>
    </r>
    <r>
      <rPr>
        <b/>
        <vertAlign val="subscript"/>
        <sz val="12"/>
        <rFont val="Times New Roman"/>
        <family val="1"/>
      </rPr>
      <t>kf/k</t>
    </r>
  </si>
  <si>
    <t>(2) Multiplicateur</t>
  </si>
  <si>
    <t>(3) Taux régional d'imposition du capital en pourcentage du capital</t>
  </si>
  <si>
    <t>(4) Taux d'impôt fédéral sur le capital (en pourcentage du capital)</t>
  </si>
  <si>
    <t>(5) Taux nominal d'imposition du capital (fédéral et régional) en pourcentage du capital</t>
  </si>
  <si>
    <t>(1) Taux légal régional de base d'imposition du capital (en pourcentage du capital)</t>
  </si>
  <si>
    <t>Récapitulatif des taux à prendre en compte pour le calcul des EMTR</t>
  </si>
  <si>
    <t>Taux d'impôt proportionnel sur le bénéfice au niveau fédéral</t>
  </si>
  <si>
    <t>Taux d'impôt fédéral grevant le capital</t>
  </si>
  <si>
    <t>Taux d'impôt régional de base du capital</t>
  </si>
  <si>
    <r>
      <t>t</t>
    </r>
    <r>
      <rPr>
        <b/>
        <vertAlign val="subscript"/>
        <sz val="12"/>
        <color indexed="8"/>
        <rFont val="Times New Roman"/>
        <family val="1"/>
      </rPr>
      <t>kr_légal</t>
    </r>
  </si>
  <si>
    <t>(2) Multiples pour l'imposition du bénéfice et du capital au niveau régional</t>
  </si>
  <si>
    <t>(4)Taux d'impôt fédéral légal sur le bénéfice</t>
  </si>
  <si>
    <t xml:space="preserve">(5) Taux global nominal d'imposition sur le bénéfice </t>
  </si>
  <si>
    <t>(3) Taux d'impôt nominal  pour l'imposition du bénéfice au niveau régional</t>
  </si>
  <si>
    <t>(1) Taux maximal d'impôt légal régional de base sur le bénéfice</t>
  </si>
  <si>
    <t>(1) Montant de l'imposition effective (Bénéfice et capital) (cf. pour vérification : Publication de la charge fiscale)</t>
  </si>
  <si>
    <t>(2) Montant de l'imposition effective (Bénéfice et capital) au niveau fédéral (cf. pour vérification : Publication de la charge fiscale)</t>
  </si>
  <si>
    <t>(3) Montant de l'imposition effective du bénéfice au niveau fédéral</t>
  </si>
  <si>
    <t>(4) Montant de l'imposition du capital au niveau fédéral</t>
  </si>
  <si>
    <t>(5) Montant de l'imposition effective (Bénéfice et capital) au niveau régional (cf. pour vérification : Publication de la charge fiscale)</t>
  </si>
  <si>
    <t>(6) Montant de l'imposition effective du bénéfice au niveau régional</t>
  </si>
  <si>
    <t>(7) Montant de l'imposition du capital au niveau régional</t>
  </si>
  <si>
    <t>(8) Montant de l'imposition globale effective du bénéfice</t>
  </si>
  <si>
    <t xml:space="preserve">(9) Montant de l'imposition globale du capital </t>
  </si>
  <si>
    <t>Différence</t>
  </si>
  <si>
    <t>Montant d'impôt total</t>
  </si>
  <si>
    <t>Montant d'impôt confédération</t>
  </si>
  <si>
    <t>Montant d'impôt cantonal</t>
  </si>
  <si>
    <t>Bénéfice net avant impôt</t>
  </si>
  <si>
    <t>Paramétres pour calculs</t>
  </si>
  <si>
    <t>Taux global nominal d'imposition du bénéfice</t>
  </si>
  <si>
    <t>Taux d'impôt nominal sur le capital</t>
  </si>
  <si>
    <r>
      <t>t</t>
    </r>
    <r>
      <rPr>
        <b/>
        <vertAlign val="subscript"/>
        <sz val="11"/>
        <rFont val="Arial"/>
        <family val="2"/>
      </rPr>
      <t>c</t>
    </r>
  </si>
  <si>
    <t>Bénéfice net déterminant pour le calcul de l'impôt (Canton et commune)</t>
  </si>
  <si>
    <t>Bénéfice net déterminant pour le calcul de l'impôt (Confédération</t>
  </si>
  <si>
    <t>Les 4 cas pour le calcul des EMTR</t>
  </si>
  <si>
    <t>Taux global effectif d'imposition du bénéfice</t>
  </si>
  <si>
    <r>
      <t>t</t>
    </r>
    <r>
      <rPr>
        <b/>
        <vertAlign val="subscript"/>
        <sz val="11"/>
        <rFont val="Arial"/>
        <family val="2"/>
      </rPr>
      <t>c</t>
    </r>
  </si>
  <si>
    <r>
      <t>t</t>
    </r>
    <r>
      <rPr>
        <b/>
        <vertAlign val="subscript"/>
        <sz val="11"/>
        <rFont val="Arial"/>
        <family val="2"/>
      </rPr>
      <t>k</t>
    </r>
  </si>
  <si>
    <r>
      <t>t'</t>
    </r>
    <r>
      <rPr>
        <b/>
        <vertAlign val="subscript"/>
        <sz val="11"/>
        <rFont val="Arial"/>
        <family val="2"/>
      </rPr>
      <t>c sans capital</t>
    </r>
  </si>
  <si>
    <r>
      <t>t'</t>
    </r>
    <r>
      <rPr>
        <b/>
        <vertAlign val="subscript"/>
        <sz val="11"/>
        <rFont val="Arial"/>
        <family val="2"/>
      </rPr>
      <t>c avec capital</t>
    </r>
  </si>
  <si>
    <t>Variables représentatives</t>
  </si>
  <si>
    <t>Titre</t>
  </si>
  <si>
    <t>Modèle sans imposition du capital</t>
  </si>
  <si>
    <r>
      <t>t</t>
    </r>
    <r>
      <rPr>
        <b/>
        <vertAlign val="subscript"/>
        <sz val="11"/>
        <rFont val="Arial"/>
        <family val="2"/>
      </rPr>
      <t>c</t>
    </r>
    <r>
      <rPr>
        <b/>
        <sz val="9"/>
        <rFont val="Arial"/>
        <family val="2"/>
      </rPr>
      <t xml:space="preserve"> (donnée)</t>
    </r>
  </si>
  <si>
    <r>
      <t>t'</t>
    </r>
    <r>
      <rPr>
        <b/>
        <vertAlign val="subscript"/>
        <sz val="11"/>
        <rFont val="Arial"/>
        <family val="2"/>
      </rPr>
      <t xml:space="preserve">c sans capital </t>
    </r>
    <r>
      <rPr>
        <b/>
        <sz val="11"/>
        <rFont val="Arial"/>
        <family val="2"/>
      </rPr>
      <t>= 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/(1+t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)</t>
    </r>
  </si>
  <si>
    <r>
      <t>t</t>
    </r>
    <r>
      <rPr>
        <b/>
        <vertAlign val="subscript"/>
        <sz val="11"/>
        <rFont val="Arial"/>
        <family val="2"/>
      </rPr>
      <t>k</t>
    </r>
    <r>
      <rPr>
        <b/>
        <sz val="9"/>
        <rFont val="Arial"/>
        <family val="2"/>
      </rPr>
      <t xml:space="preserve"> (donnée)</t>
    </r>
  </si>
  <si>
    <r>
      <t>t'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  <r>
      <rPr>
        <b/>
        <vertAlign val="subscript"/>
        <sz val="11"/>
        <rFont val="Arial"/>
        <family val="2"/>
      </rPr>
      <t>avec capital</t>
    </r>
    <r>
      <rPr>
        <b/>
        <sz val="11"/>
        <rFont val="Arial"/>
        <family val="2"/>
      </rPr>
      <t>= 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(1-t</t>
    </r>
    <r>
      <rPr>
        <b/>
        <vertAlign val="subscript"/>
        <sz val="11"/>
        <rFont val="Arial"/>
        <family val="2"/>
      </rPr>
      <t>k</t>
    </r>
    <r>
      <rPr>
        <b/>
        <sz val="11"/>
        <rFont val="Arial"/>
        <family val="2"/>
      </rPr>
      <t>)/(1+t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)</t>
    </r>
  </si>
  <si>
    <t>Donnée ou Formule</t>
  </si>
  <si>
    <r>
      <t>t</t>
    </r>
    <r>
      <rPr>
        <b/>
        <vertAlign val="subscript"/>
        <sz val="12"/>
        <rFont val="Times New Roman"/>
        <family val="1"/>
      </rPr>
      <t>c</t>
    </r>
  </si>
  <si>
    <r>
      <t>t'</t>
    </r>
    <r>
      <rPr>
        <b/>
        <vertAlign val="subscript"/>
        <sz val="12"/>
        <rFont val="Times New Roman"/>
        <family val="1"/>
      </rPr>
      <t xml:space="preserve">c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) </t>
    </r>
  </si>
  <si>
    <t>Taux d'impôt grevant le capital en pourcent du bénéfice avec un taux de rendement de 50% (Capital de deux millions, Bénéfice d'un million)</t>
  </si>
  <si>
    <r>
      <t>t</t>
    </r>
    <r>
      <rPr>
        <b/>
        <vertAlign val="subscript"/>
        <sz val="12"/>
        <rFont val="Times New Roman"/>
        <family val="1"/>
      </rPr>
      <t>k compté à double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</si>
  <si>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 compté à double</t>
    </r>
  </si>
  <si>
    <t>Synthése du calcul des taux effectifs et nominaux d'imposition des sociétés pour le calcul des EMTR et comparaison aux données de la charge fiscale</t>
  </si>
  <si>
    <t>Récapitulatif des montants effectifs d'impôt à payer sur le bénéfice et le capital avec un bénéfice d'un million et un capital de deux millions</t>
  </si>
  <si>
    <t>Détail du calcul des taux effectif d'imposition avec imposition du capital</t>
  </si>
  <si>
    <t>Calcul du taux d'imposition global effectif (sans impôt sur le capital)</t>
  </si>
  <si>
    <t xml:space="preserve"> Calcul du taux d'imposition maximal global  avec ou sans impôt sur le capital et en pourcentage ou non du bénéfice</t>
  </si>
  <si>
    <t>L'impôt sur le capital des sociétés</t>
  </si>
  <si>
    <t>Type de barème</t>
  </si>
  <si>
    <t>Barème à plusieurs paliers selon l'intensité de rendement</t>
  </si>
  <si>
    <t>Impôt proportionnel</t>
  </si>
  <si>
    <t>Imposition du bénéfice</t>
  </si>
  <si>
    <t>Imposition du capital</t>
  </si>
  <si>
    <t>Récapitulatif des changements sur la période sous revue</t>
  </si>
  <si>
    <t>Pas d'impôt</t>
  </si>
  <si>
    <t>9.8 % du total du bénéfice net</t>
  </si>
  <si>
    <t xml:space="preserve">L'impôt sur le bénéfice des sociétés </t>
  </si>
  <si>
    <t>Période 1991-1997</t>
  </si>
  <si>
    <t>Période à compter de 1998</t>
  </si>
  <si>
    <t>Descriptif de l'imposition du bénéfice</t>
  </si>
  <si>
    <t>-</t>
  </si>
  <si>
    <t>Impôt proportionnel sur le bénéfice</t>
  </si>
  <si>
    <t>Descriptif de l'imposition du capital</t>
  </si>
  <si>
    <t xml:space="preserve">Taux </t>
  </si>
  <si>
    <t>Diminution de 1.3% à partir de 1998</t>
  </si>
  <si>
    <t>Disparaît à partir de 1998</t>
  </si>
  <si>
    <t>Pour un taux de rendement des sociétés de 50%</t>
  </si>
  <si>
    <t>(20) Taux légal de l'impôt sur le capital</t>
  </si>
  <si>
    <t xml:space="preserve">Récapitulatif des taux effectifs d'impôt grevant le bénéfice et le capital </t>
  </si>
  <si>
    <t>Résumé du calcul des taux effectifs d'impositions y compris l'imposition du capital</t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</si>
  <si>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 +t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                                        ou encore  : 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</si>
  <si>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t xml:space="preserve"> Calcul du taux d'imposition global nominal grevant l'actif net des sociétés (Confédération, cantons, communes, paroisses) en pourcentage du capital</t>
  </si>
  <si>
    <t>Le barème fédéral d'imposition des sociétés de 1991 à nos jours</t>
  </si>
  <si>
    <t>Méthode 1 du calcul du taux fédéral d'imposition des sociétés (y compris le taux d'impôt sur le capital)</t>
  </si>
  <si>
    <t>Méthode 2 du calcul du taux fédéral d'imposition des sociétés (y compris le taux d'impôt sur le capital)</t>
  </si>
  <si>
    <t>Table de synthèse des tableaux'!A1</t>
  </si>
  <si>
    <t>Multiplicateur (Personnes Morales)</t>
  </si>
  <si>
    <t>Numéro de tableau, de graphique ou de documentation</t>
  </si>
  <si>
    <t>Taux global effectif d'imposition du bénéfice sans capital</t>
  </si>
  <si>
    <t>2001-2002</t>
  </si>
  <si>
    <t>Propre Calcul</t>
  </si>
  <si>
    <t>Publication Charge fiscale</t>
  </si>
  <si>
    <t>Source : Un aperçu du système fiscal Suisse (AFC) Service de documentation Berne</t>
  </si>
  <si>
    <t>(1) Taux effectif global d'imposition des sociétés avec impôt sur le capital (Déductions comprises) Publication de la charge fiscale</t>
  </si>
  <si>
    <r>
      <t>t' = (t</t>
    </r>
    <r>
      <rPr>
        <b/>
        <vertAlign val="subscript"/>
        <sz val="13"/>
        <rFont val="Times New Roman"/>
        <family val="1"/>
      </rPr>
      <t>c</t>
    </r>
    <r>
      <rPr>
        <b/>
        <sz val="13"/>
        <rFont val="Times New Roman"/>
        <family val="1"/>
      </rPr>
      <t>+t</t>
    </r>
    <r>
      <rPr>
        <b/>
        <vertAlign val="subscript"/>
        <sz val="13"/>
        <rFont val="Times New Roman"/>
        <family val="1"/>
      </rPr>
      <t>k</t>
    </r>
    <r>
      <rPr>
        <b/>
        <sz val="13"/>
        <rFont val="Times New Roman"/>
        <family val="1"/>
      </rPr>
      <t>)/(1+t</t>
    </r>
    <r>
      <rPr>
        <b/>
        <vertAlign val="subscript"/>
        <sz val="13"/>
        <rFont val="Times New Roman"/>
        <family val="1"/>
      </rPr>
      <t>c</t>
    </r>
    <r>
      <rPr>
        <b/>
        <sz val="13"/>
        <rFont val="Times New Roman"/>
        <family val="1"/>
      </rPr>
      <t>)</t>
    </r>
    <r>
      <rPr>
        <b/>
        <sz val="10"/>
        <rFont val="Times New Roman"/>
        <family val="1"/>
      </rPr>
      <t xml:space="preserve">                                    Ici données de la charge fiscale en Suisse</t>
    </r>
  </si>
  <si>
    <t>(2) Bénéfice net avant impôt</t>
  </si>
  <si>
    <t>(3) Capital</t>
  </si>
  <si>
    <t xml:space="preserve">(4) Taux de rendement </t>
  </si>
  <si>
    <t>(5) Inverse du taux de rendement</t>
  </si>
  <si>
    <t>(6) Multiples pour l'imposition du bénéfice et du capital au niveau régional</t>
  </si>
  <si>
    <t>(7) Taux d'impôt fédéral sur le capital en pourcentage du capital</t>
  </si>
  <si>
    <t>(8) Taux d'imposition fédéral du capital en pourcentage du bénéfice</t>
  </si>
  <si>
    <t>(9) Taux légal régional d'imposition du capital en pourcentage du capital</t>
  </si>
  <si>
    <t>(10) Taux régional d'imposition du capital en pourcentage du capital</t>
  </si>
  <si>
    <t>(11) Taux régional d'imposition du capital en pourcentage du bénéfice</t>
  </si>
  <si>
    <t>(12) Taux nominal d'imposition du capital (fédéral et régional) en pourcentage du capital</t>
  </si>
  <si>
    <t>(13) Taux nominal d'imposition du capital (fédéral et régional) en pourcentage du bénéfice</t>
  </si>
  <si>
    <t>(14) Taux nominal d'imposition du bénéfice</t>
  </si>
  <si>
    <r>
      <t>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=(t’-t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)/(1-t’)</t>
    </r>
  </si>
  <si>
    <t>(15) Taux maximal d'imposition du bénéfice au niveau fédéral</t>
  </si>
  <si>
    <t>(16) Taux maximal régional d'imposition du bénéfice</t>
  </si>
  <si>
    <r>
      <t>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- t</t>
    </r>
    <r>
      <rPr>
        <b/>
        <vertAlign val="subscript"/>
        <sz val="12"/>
        <rFont val="Times New Roman"/>
        <family val="1"/>
      </rPr>
      <t>cf</t>
    </r>
  </si>
  <si>
    <t>(17)  Taux de base d'imposition du bénéfice au niveau régional</t>
  </si>
  <si>
    <r>
      <t>t</t>
    </r>
    <r>
      <rPr>
        <b/>
        <vertAlign val="subscript"/>
        <sz val="12"/>
        <rFont val="Times New Roman"/>
        <family val="1"/>
      </rPr>
      <t>b_légal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 xml:space="preserve">/ M </t>
    </r>
  </si>
  <si>
    <t>(7)  Taux de base d'imposition du bénéfice au niveau régional</t>
  </si>
  <si>
    <r>
      <t>t</t>
    </r>
    <r>
      <rPr>
        <b/>
        <vertAlign val="subscript"/>
        <sz val="12"/>
        <rFont val="Times New Roman"/>
        <family val="1"/>
      </rPr>
      <t>b_légal</t>
    </r>
  </si>
  <si>
    <t>(8) Taux maximal régional d'imposition du bénéfice</t>
  </si>
  <si>
    <r>
      <t>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= M*t</t>
    </r>
    <r>
      <rPr>
        <b/>
        <vertAlign val="subscript"/>
        <sz val="12"/>
        <rFont val="Times New Roman"/>
        <family val="1"/>
      </rPr>
      <t>b_légal</t>
    </r>
  </si>
  <si>
    <t>(9) Taux maximal d'imposition du bénéfice au niveau fédéral</t>
  </si>
  <si>
    <t>(10) Taux d'imposition global maximal d'imposition du bénéfice</t>
  </si>
  <si>
    <r>
      <t>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+t</t>
    </r>
    <r>
      <rPr>
        <b/>
        <vertAlign val="subscript"/>
        <sz val="12"/>
        <rFont val="Times New Roman"/>
        <family val="1"/>
      </rPr>
      <t>cr</t>
    </r>
  </si>
  <si>
    <t>(11) Taux d'imposition global du capital en pourcentage du bénéfice</t>
  </si>
  <si>
    <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k/B</t>
    </r>
    <r>
      <rPr>
        <b/>
        <sz val="12"/>
        <rFont val="Times New Roman"/>
        <family val="1"/>
      </rPr>
      <t>=t'(1+t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)-t</t>
    </r>
    <r>
      <rPr>
        <b/>
        <vertAlign val="subscript"/>
        <sz val="12"/>
        <rFont val="Times New Roman"/>
        <family val="1"/>
      </rPr>
      <t>c</t>
    </r>
  </si>
  <si>
    <t>(12) Taux d'impôt fédéral sur le capital en pourcentage du capital</t>
  </si>
  <si>
    <t>(13) Taux d'imposition fédéral du capital en pourcentage du bénéfice</t>
  </si>
  <si>
    <r>
      <t>t</t>
    </r>
    <r>
      <rPr>
        <b/>
        <vertAlign val="subscript"/>
        <sz val="12"/>
        <rFont val="Times New Roman"/>
        <family val="1"/>
      </rPr>
      <t>kf/B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kf_légal</t>
    </r>
    <r>
      <rPr>
        <b/>
        <sz val="12"/>
        <rFont val="Times New Roman"/>
        <family val="1"/>
      </rPr>
      <t xml:space="preserve"> * 1/r</t>
    </r>
  </si>
  <si>
    <r>
      <t>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kr/B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- t</t>
    </r>
    <r>
      <rPr>
        <b/>
        <vertAlign val="subscript"/>
        <sz val="12"/>
        <rFont val="Times New Roman"/>
        <family val="1"/>
      </rPr>
      <t>kf</t>
    </r>
  </si>
  <si>
    <t>*</t>
  </si>
  <si>
    <t>(15) Taux régional d'imposition du capital en pourcentage du capital</t>
  </si>
  <si>
    <r>
      <t xml:space="preserve">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>kr/k</t>
    </r>
    <r>
      <rPr>
        <b/>
        <sz val="12"/>
        <color indexed="8"/>
        <rFont val="Times New Roman"/>
        <family val="1"/>
      </rPr>
      <t xml:space="preserve"> = t</t>
    </r>
    <r>
      <rPr>
        <b/>
        <vertAlign val="subscript"/>
        <sz val="12"/>
        <color indexed="8"/>
        <rFont val="Times New Roman"/>
        <family val="1"/>
      </rPr>
      <t>kr/B</t>
    </r>
    <r>
      <rPr>
        <b/>
        <sz val="12"/>
        <color indexed="8"/>
        <rFont val="Times New Roman"/>
        <family val="1"/>
      </rPr>
      <t xml:space="preserve"> / (1/r)</t>
    </r>
  </si>
  <si>
    <t>(16) Taux légal régional de base d'imposition du capital en pourcentage du capital</t>
  </si>
  <si>
    <r>
      <t>t</t>
    </r>
    <r>
      <rPr>
        <b/>
        <vertAlign val="subscript"/>
        <sz val="12"/>
        <color indexed="8"/>
        <rFont val="Times New Roman"/>
        <family val="1"/>
      </rPr>
      <t xml:space="preserve">kr_légal =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 xml:space="preserve">kr_légal/k </t>
    </r>
    <r>
      <rPr>
        <b/>
        <sz val="12"/>
        <color indexed="8"/>
        <rFont val="Times New Roman"/>
        <family val="1"/>
      </rPr>
      <t>= t</t>
    </r>
    <r>
      <rPr>
        <b/>
        <vertAlign val="subscript"/>
        <sz val="12"/>
        <color indexed="8"/>
        <rFont val="Times New Roman"/>
        <family val="1"/>
      </rPr>
      <t>kr/k</t>
    </r>
    <r>
      <rPr>
        <b/>
        <sz val="12"/>
        <color indexed="8"/>
        <rFont val="Times New Roman"/>
        <family val="1"/>
      </rPr>
      <t xml:space="preserve"> / M</t>
    </r>
  </si>
  <si>
    <t>(17) Donnée théorique estimée à partir de la législation fiscale</t>
  </si>
  <si>
    <t>Provenant du tableau  ?</t>
  </si>
  <si>
    <t>(18) Ecart d'estimation</t>
  </si>
  <si>
    <t>(1) Capital</t>
  </si>
  <si>
    <r>
      <t>t</t>
    </r>
    <r>
      <rPr>
        <b/>
        <vertAlign val="subscript"/>
        <sz val="12"/>
        <rFont val="Times New Roman"/>
        <family val="1"/>
      </rPr>
      <t>kr_base/k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kr_base</t>
    </r>
    <r>
      <rPr>
        <b/>
        <sz val="12"/>
        <rFont val="Times New Roman"/>
        <family val="1"/>
      </rPr>
      <t>/K</t>
    </r>
  </si>
  <si>
    <r>
      <t>t</t>
    </r>
    <r>
      <rPr>
        <b/>
        <vertAlign val="subscript"/>
        <sz val="12"/>
        <rFont val="Times New Roman"/>
        <family val="1"/>
      </rPr>
      <t>kr/k</t>
    </r>
    <r>
      <rPr>
        <b/>
        <sz val="12"/>
        <rFont val="Times New Roman"/>
        <family val="1"/>
      </rPr>
      <t>= M*t</t>
    </r>
    <r>
      <rPr>
        <b/>
        <vertAlign val="subscript"/>
        <sz val="12"/>
        <rFont val="Times New Roman"/>
        <family val="1"/>
      </rPr>
      <t>kr_base/k</t>
    </r>
  </si>
  <si>
    <r>
      <t>t</t>
    </r>
    <r>
      <rPr>
        <b/>
        <vertAlign val="subscript"/>
        <sz val="12"/>
        <rFont val="Times New Roman"/>
        <family val="1"/>
      </rPr>
      <t>kr_base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>kr_base/B</t>
    </r>
  </si>
  <si>
    <r>
      <t>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>= M*t</t>
    </r>
    <r>
      <rPr>
        <b/>
        <vertAlign val="subscript"/>
        <sz val="12"/>
        <rFont val="Times New Roman"/>
        <family val="1"/>
      </rPr>
      <t>kr_base</t>
    </r>
  </si>
  <si>
    <r>
      <t>T</t>
    </r>
    <r>
      <rPr>
        <b/>
        <vertAlign val="subscript"/>
        <sz val="12"/>
        <rFont val="Times New Roman"/>
        <family val="1"/>
      </rPr>
      <t xml:space="preserve">k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>*B</t>
    </r>
  </si>
  <si>
    <t>Uniquement disponible pour le cas d'un capital d'un million</t>
  </si>
  <si>
    <t xml:space="preserve"> </t>
  </si>
  <si>
    <r>
      <t>t</t>
    </r>
    <r>
      <rPr>
        <b/>
        <vertAlign val="subscript"/>
        <sz val="12"/>
        <rFont val="Times New Roman"/>
        <family val="1"/>
      </rPr>
      <t>kr_base</t>
    </r>
  </si>
  <si>
    <r>
      <t>T</t>
    </r>
    <r>
      <rPr>
        <b/>
        <vertAlign val="subscript"/>
        <sz val="12"/>
        <rFont val="Times New Roman"/>
        <family val="1"/>
      </rPr>
      <t>kr_base</t>
    </r>
  </si>
  <si>
    <t>(2) Taxe</t>
  </si>
  <si>
    <t>(3) Premier montant d'impôt              (1)*(2)</t>
  </si>
  <si>
    <t>(4) Taux de base d'imposition  (3)/(1) en pourcentage du capital</t>
  </si>
  <si>
    <t>(5) Multiple</t>
  </si>
  <si>
    <t>(6) Taux d'imposition du capital en pourcentage du capital</t>
  </si>
  <si>
    <t>(7) Bénéfice</t>
  </si>
  <si>
    <t>(8) Taux de base d'imposition du capital en pourcentage du bénéfice (3)/(7)</t>
  </si>
  <si>
    <t>(9) Taux d'imposition du capital en pourcentage du bénéfice</t>
  </si>
  <si>
    <t xml:space="preserve">(10) Montant nominal d'imposition du capital </t>
  </si>
  <si>
    <t>(11) Comparaison avec les données de la charge fiscale</t>
  </si>
  <si>
    <t xml:space="preserve">Méthode pour retrouver le taux de base maximal d'imposition régional du bénéfice </t>
  </si>
  <si>
    <t xml:space="preserve">Méthode pour retrouver le taux de base d'imposition du capital   </t>
  </si>
  <si>
    <r>
      <t>t'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(1-t'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/ 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</si>
  <si>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t'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= t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>/ 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</si>
  <si>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t>Nominal sans imposition du capital</t>
  </si>
  <si>
    <t xml:space="preserve"> Effectif sans imposition du capital</t>
  </si>
  <si>
    <t>Nominal avec imposition du capital</t>
  </si>
  <si>
    <t>Effectif avec imposition du capital</t>
  </si>
  <si>
    <t>Pour vérification</t>
  </si>
  <si>
    <t>Total charge fiscale calcul ici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</si>
  <si>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</si>
  <si>
    <t>Taux effectif (bénéfice et capital) calculé ailleurs</t>
  </si>
  <si>
    <r>
      <t xml:space="preserve">t' </t>
    </r>
    <r>
      <rPr>
        <b/>
        <vertAlign val="subscript"/>
        <sz val="12"/>
        <rFont val="Times New Roman"/>
        <family val="1"/>
      </rPr>
      <t>théorique</t>
    </r>
  </si>
  <si>
    <t>Données de la Charge fiscale</t>
  </si>
  <si>
    <t>différenc d'avec t'c avec capital</t>
  </si>
  <si>
    <r>
      <t>t'</t>
    </r>
    <r>
      <rPr>
        <b/>
        <vertAlign val="subscript"/>
        <sz val="12"/>
        <rFont val="Times New Roman"/>
        <family val="1"/>
      </rPr>
      <t xml:space="preserve"> charge fiscale</t>
    </r>
  </si>
  <si>
    <t>Ligne de zéro</t>
  </si>
  <si>
    <t>Différenc d'avec t'c avec capital</t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</si>
  <si>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 xml:space="preserve"> - t' </t>
    </r>
    <r>
      <rPr>
        <b/>
        <vertAlign val="subscript"/>
        <sz val="12"/>
        <rFont val="Times New Roman"/>
        <family val="1"/>
      </rPr>
      <t>calculé ici</t>
    </r>
  </si>
  <si>
    <t>Total des deux taux effectifs</t>
  </si>
  <si>
    <r>
      <t>t'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+ t'</t>
    </r>
    <r>
      <rPr>
        <b/>
        <vertAlign val="subscript"/>
        <sz val="12"/>
        <rFont val="Times New Roman"/>
        <family val="1"/>
      </rPr>
      <t>cr</t>
    </r>
  </si>
  <si>
    <t>Différence avec le t'c</t>
  </si>
  <si>
    <t>(6)-(7)-(8)</t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</si>
  <si>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>= (t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)                                       </t>
    </r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</si>
  <si>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>= (t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)                                                       </t>
    </r>
  </si>
  <si>
    <t>Calculé dans la feuille précédente</t>
  </si>
  <si>
    <r>
      <t>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( t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</si>
  <si>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t>La différence doit être nulle</t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</si>
  <si>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 t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</si>
  <si>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t xml:space="preserve">Taux d'impôt fédéral sur le capital </t>
  </si>
  <si>
    <t>Taux d'impôt fédéral sur le bénéfice</t>
  </si>
  <si>
    <t>Taux d'impôt global sur le capital</t>
  </si>
  <si>
    <t>Taux d'impôt global sur le bénéfice</t>
  </si>
  <si>
    <t>Taux d'impôt régional sur le capital</t>
  </si>
  <si>
    <r>
      <t>t</t>
    </r>
    <r>
      <rPr>
        <b/>
        <vertAlign val="subscript"/>
        <sz val="12"/>
        <rFont val="Times New Roman"/>
        <family val="1"/>
      </rPr>
      <t>cr</t>
    </r>
  </si>
  <si>
    <t>Taux d'impôt régional sur le bénéfice</t>
  </si>
  <si>
    <t>Passage du taux fédéral avec capital au taux fédéral sans capital. Calcul du taux avec capital</t>
  </si>
  <si>
    <t>Passage du taux régional avec capital au taux régional sans capital. Calcul du taux avec capital</t>
  </si>
  <si>
    <r>
      <t>t</t>
    </r>
    <r>
      <rPr>
        <b/>
        <vertAlign val="subscript"/>
        <sz val="12"/>
        <rFont val="Times New Roman"/>
        <family val="1"/>
      </rPr>
      <t>kf</t>
    </r>
  </si>
  <si>
    <r>
      <t>t</t>
    </r>
    <r>
      <rPr>
        <b/>
        <vertAlign val="subscript"/>
        <sz val="12"/>
        <rFont val="Times New Roman"/>
        <family val="1"/>
      </rPr>
      <t>k</t>
    </r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</si>
  <si>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 xml:space="preserve"> - t' </t>
    </r>
    <r>
      <rPr>
        <b/>
        <vertAlign val="subscript"/>
        <sz val="12"/>
        <rFont val="Times New Roman"/>
        <family val="1"/>
      </rPr>
      <t>c avec capital</t>
    </r>
  </si>
  <si>
    <r>
      <t>t'</t>
    </r>
    <r>
      <rPr>
        <b/>
        <vertAlign val="subscript"/>
        <sz val="12"/>
        <rFont val="Times New Roman"/>
        <family val="1"/>
      </rPr>
      <t xml:space="preserve">r avec capital 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 xml:space="preserve">kr  -  </t>
    </r>
    <r>
      <rPr>
        <b/>
        <sz val="12"/>
        <rFont val="Times New Roman"/>
        <family val="1"/>
      </rPr>
      <t>((t</t>
    </r>
    <r>
      <rPr>
        <b/>
        <vertAlign val="subscript"/>
        <sz val="12"/>
        <rFont val="Times New Roman"/>
        <family val="1"/>
      </rPr>
      <t>cr*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</t>
    </r>
  </si>
  <si>
    <r>
      <t>t'</t>
    </r>
    <r>
      <rPr>
        <b/>
        <vertAlign val="subscript"/>
        <sz val="12"/>
        <rFont val="Times New Roman"/>
        <family val="1"/>
      </rPr>
      <t xml:space="preserve">f avec capital 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 xml:space="preserve">kf  -  </t>
    </r>
    <r>
      <rPr>
        <b/>
        <sz val="12"/>
        <rFont val="Times New Roman"/>
        <family val="1"/>
      </rPr>
      <t>((t</t>
    </r>
    <r>
      <rPr>
        <b/>
        <vertAlign val="subscript"/>
        <sz val="12"/>
        <rFont val="Times New Roman"/>
        <family val="1"/>
      </rPr>
      <t>cf*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</t>
    </r>
  </si>
  <si>
    <t>(12) Multiplicateur souhaité</t>
  </si>
  <si>
    <t>Calculé à partir des données de la cahrge fiscale</t>
  </si>
  <si>
    <t>Multiplicateurs publiés</t>
  </si>
  <si>
    <t>Mp</t>
  </si>
  <si>
    <t>D</t>
  </si>
  <si>
    <t>Calcul des taux d'imposition effectifs et nominaux  pour un taux de rendement de 50% et dans l'objectif du calcul des EMTR</t>
  </si>
  <si>
    <t>Données des taux d'imposition sur le bénéfice</t>
  </si>
  <si>
    <t>Données des taux d'imposition sur le capital</t>
  </si>
  <si>
    <t>Remarques</t>
  </si>
  <si>
    <t>Tableau 2 : Les 4 cas pour le calcul des EMTR</t>
  </si>
  <si>
    <t>Tableau 3 : Récapitulatif des taux à prendre en compte pour le calcul des EMTR</t>
  </si>
  <si>
    <t>2_Les 4 cas'!A1</t>
  </si>
  <si>
    <t>3_Recap Taux pour EMTR'!A1</t>
  </si>
  <si>
    <t>(2) Première tranche</t>
  </si>
  <si>
    <t>Limite 1</t>
  </si>
  <si>
    <t>(3) Surtaxe 1</t>
  </si>
  <si>
    <r>
      <t>t</t>
    </r>
    <r>
      <rPr>
        <b/>
        <vertAlign val="subscript"/>
        <sz val="12"/>
        <rFont val="Times New Roman"/>
        <family val="1"/>
      </rPr>
      <t>kr1_base</t>
    </r>
  </si>
  <si>
    <t>(4) Premier montant d'impôt              (2)*(3)</t>
  </si>
  <si>
    <r>
      <t>T</t>
    </r>
    <r>
      <rPr>
        <b/>
        <vertAlign val="subscript"/>
        <sz val="12"/>
        <rFont val="Times New Roman"/>
        <family val="1"/>
      </rPr>
      <t>kr1_base</t>
    </r>
  </si>
  <si>
    <t>(5) Deuxiéme limite</t>
  </si>
  <si>
    <t>Limite 2</t>
  </si>
  <si>
    <t>(6) Deuxième tranche                         (5)-(2)</t>
  </si>
  <si>
    <t>Restant</t>
  </si>
  <si>
    <t>(7) Surtaxe2</t>
  </si>
  <si>
    <r>
      <t>t</t>
    </r>
    <r>
      <rPr>
        <b/>
        <vertAlign val="subscript"/>
        <sz val="12"/>
        <rFont val="Times New Roman"/>
        <family val="1"/>
      </rPr>
      <t>kr2_base</t>
    </r>
  </si>
  <si>
    <t>(8) Deuxième montant d'impôt           (6)*(7)</t>
  </si>
  <si>
    <r>
      <t>T</t>
    </r>
    <r>
      <rPr>
        <b/>
        <vertAlign val="subscript"/>
        <sz val="12"/>
        <rFont val="Times New Roman"/>
        <family val="1"/>
      </rPr>
      <t>kr2_base</t>
    </r>
  </si>
  <si>
    <t>(9) Troisième tranche                               (1)-(2)-(6)</t>
  </si>
  <si>
    <t>Limite 3</t>
  </si>
  <si>
    <t>(10) Surtaxe3</t>
  </si>
  <si>
    <r>
      <t>t</t>
    </r>
    <r>
      <rPr>
        <b/>
        <vertAlign val="subscript"/>
        <sz val="12"/>
        <rFont val="Times New Roman"/>
        <family val="1"/>
      </rPr>
      <t>kr3_base</t>
    </r>
  </si>
  <si>
    <t>(11) Troisième montant d'impôt</t>
  </si>
  <si>
    <r>
      <t>T</t>
    </r>
    <r>
      <rPr>
        <b/>
        <vertAlign val="subscript"/>
        <sz val="12"/>
        <rFont val="Times New Roman"/>
        <family val="1"/>
      </rPr>
      <t>k3_base</t>
    </r>
  </si>
  <si>
    <t>(12) Total d'impôt                            (4)+(8)+(11)</t>
  </si>
  <si>
    <r>
      <t>T</t>
    </r>
    <r>
      <rPr>
        <b/>
        <vertAlign val="subscript"/>
        <sz val="12"/>
        <rFont val="Times New Roman"/>
        <family val="1"/>
      </rPr>
      <t xml:space="preserve">kr _base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kr1_base</t>
    </r>
    <r>
      <rPr>
        <b/>
        <sz val="12"/>
        <rFont val="Times New Roman"/>
        <family val="1"/>
      </rPr>
      <t xml:space="preserve"> + T</t>
    </r>
    <r>
      <rPr>
        <b/>
        <vertAlign val="subscript"/>
        <sz val="12"/>
        <rFont val="Times New Roman"/>
        <family val="1"/>
      </rPr>
      <t>kr2_base</t>
    </r>
    <r>
      <rPr>
        <b/>
        <sz val="12"/>
        <rFont val="Times New Roman"/>
        <family val="1"/>
      </rPr>
      <t xml:space="preserve"> +T</t>
    </r>
    <r>
      <rPr>
        <b/>
        <vertAlign val="subscript"/>
        <sz val="12"/>
        <rFont val="Times New Roman"/>
        <family val="1"/>
      </rPr>
      <t>kr3_base</t>
    </r>
  </si>
  <si>
    <t>(13) Taux de base d'imposition  (12)/(1) en pourcentage du capital</t>
  </si>
  <si>
    <t>(14) Multiple</t>
  </si>
  <si>
    <t>(15) Taux d'imposition du capital en pourcentage du capital</t>
  </si>
  <si>
    <t>(16) Bénéfice</t>
  </si>
  <si>
    <t>(17) Taux de base d'imposition du capital en pourcentage du bénéfice (12)/(14)</t>
  </si>
  <si>
    <t>(18) Multiple</t>
  </si>
  <si>
    <t>(19) Taux d'imposition du capital en pourcentage du bénéfice</t>
  </si>
  <si>
    <t xml:space="preserve">(20) Montant nominal d'imposition du capital </t>
  </si>
  <si>
    <t>(2) Bénéfice imposable B</t>
  </si>
  <si>
    <t>(4) Limite en pourcentage du capital</t>
  </si>
  <si>
    <t>Pour les premiers 21 0000 francs de capital</t>
  </si>
  <si>
    <t>Pour les francs suivants de capital jusqu'à 51 0000</t>
  </si>
  <si>
    <t>Pour le reste du capital</t>
  </si>
  <si>
    <t>Premier palier</t>
  </si>
  <si>
    <t>Taux de base de 2% sur la partie du bénéfice net qui ne dépasse pas 4.5% du capital propre ou sur le bénéfice net jusqu'à 11 250 francs, si le capital propre ne dépasse pas 250 000 francs.</t>
  </si>
  <si>
    <t>Deuxième palier</t>
  </si>
  <si>
    <t>Pour les autres 50 000 francs de bénéfices.</t>
  </si>
  <si>
    <t>Troisième palier</t>
  </si>
  <si>
    <t>Pour le reste du bénéfice.</t>
  </si>
  <si>
    <t>1991-2000: Barème à plusieur paliers selon l'intensité de rendement</t>
  </si>
  <si>
    <t>Sur le bénéfice avant impot</t>
  </si>
  <si>
    <t>Sur le bénéfice après impôt 1991</t>
  </si>
  <si>
    <t>Sur le bénéfice après impôt 1992</t>
  </si>
  <si>
    <t>Sur le bénéfice après impôt 1993</t>
  </si>
  <si>
    <t>Sur le bénéfice après impôt 1994</t>
  </si>
  <si>
    <t>Sur le bénéfice après impôt 1995</t>
  </si>
  <si>
    <t>Sur le bénéfice après impôt 1996</t>
  </si>
  <si>
    <t>Sur le bénéfice après impôt 1997</t>
  </si>
  <si>
    <t>Sur le bénéfice après impôt 1998</t>
  </si>
  <si>
    <t>Sur le bénéfice après impôt 1999</t>
  </si>
  <si>
    <t>Sur le bénéfice après impôt 2000</t>
  </si>
  <si>
    <t>Sur le bénéfice après impôt 2001</t>
  </si>
  <si>
    <t>Sur le bénéfice après impôt 2002</t>
  </si>
  <si>
    <t>Sur le bénéfice après impôt 2003</t>
  </si>
  <si>
    <r>
      <t>(5) Montant limite du capital propre    (4)*(1) qui correspond à la première base d'imposition M</t>
    </r>
    <r>
      <rPr>
        <b/>
        <vertAlign val="subscript"/>
        <sz val="10"/>
        <rFont val="Times New Roman"/>
        <family val="1"/>
      </rPr>
      <t>1</t>
    </r>
  </si>
  <si>
    <r>
      <t>(6) Première base imposable  (5) M</t>
    </r>
    <r>
      <rPr>
        <b/>
        <vertAlign val="subscript"/>
        <sz val="10"/>
        <rFont val="Times New Roman"/>
        <family val="1"/>
      </rPr>
      <t>1</t>
    </r>
  </si>
  <si>
    <r>
      <t>(7) Premier taux d'impôt t</t>
    </r>
    <r>
      <rPr>
        <b/>
        <vertAlign val="subscript"/>
        <sz val="10"/>
        <rFont val="Times New Roman"/>
        <family val="1"/>
      </rPr>
      <t>1</t>
    </r>
  </si>
  <si>
    <r>
      <t>(8) Première tranche d'impôt versé T</t>
    </r>
    <r>
      <rPr>
        <b/>
        <vertAlign val="subscript"/>
        <sz val="10"/>
        <rFont val="Times New Roman"/>
        <family val="1"/>
      </rPr>
      <t>1</t>
    </r>
  </si>
  <si>
    <r>
      <t>(9) Deuxième taux d'imposition t</t>
    </r>
    <r>
      <rPr>
        <b/>
        <vertAlign val="subscript"/>
        <sz val="10"/>
        <rFont val="Times New Roman"/>
        <family val="1"/>
      </rPr>
      <t>2</t>
    </r>
  </si>
  <si>
    <r>
      <t>(11) Deuxième tranche d'impôt versé  T</t>
    </r>
    <r>
      <rPr>
        <b/>
        <vertAlign val="subscript"/>
        <sz val="10"/>
        <rFont val="Times New Roman"/>
        <family val="1"/>
      </rPr>
      <t>2</t>
    </r>
  </si>
  <si>
    <r>
      <t>(12) Restant  à être imposé M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= B-M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-M</t>
    </r>
    <r>
      <rPr>
        <b/>
        <vertAlign val="subscript"/>
        <sz val="10"/>
        <rFont val="Times New Roman"/>
        <family val="1"/>
      </rPr>
      <t>2</t>
    </r>
  </si>
  <si>
    <r>
      <t>(13)  Troisiéme taux d'impôt t</t>
    </r>
    <r>
      <rPr>
        <b/>
        <vertAlign val="subscript"/>
        <sz val="10"/>
        <rFont val="Times New Roman"/>
        <family val="1"/>
      </rPr>
      <t>3</t>
    </r>
  </si>
  <si>
    <r>
      <t>(14) Troisième tranche d'impôt versé T</t>
    </r>
    <r>
      <rPr>
        <b/>
        <vertAlign val="subscript"/>
        <sz val="10"/>
        <rFont val="Times New Roman"/>
        <family val="1"/>
      </rPr>
      <t>3</t>
    </r>
  </si>
  <si>
    <r>
      <t>(15) Total de l'impôt à verser T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+T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+T</t>
    </r>
    <r>
      <rPr>
        <b/>
        <vertAlign val="subscript"/>
        <sz val="10"/>
        <rFont val="Times New Roman"/>
        <family val="1"/>
      </rPr>
      <t>3</t>
    </r>
  </si>
  <si>
    <r>
      <t>(16) Taux de base d'imposition maximal sur le bénéfice (T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+T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+T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)/B</t>
    </r>
  </si>
  <si>
    <r>
      <t>(10)Deuxième montant imposable du bénéfice     M</t>
    </r>
    <r>
      <rPr>
        <b/>
        <vertAlign val="sub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 xml:space="preserve">                                                                            (Sur les 50 000 autres francs de bénéfices)</t>
    </r>
  </si>
  <si>
    <t>1991-2000</t>
  </si>
  <si>
    <t xml:space="preserve">Barème progressif </t>
  </si>
  <si>
    <t>2001-2004</t>
  </si>
  <si>
    <t>Barème proportionnel</t>
  </si>
  <si>
    <t>2003-3004</t>
  </si>
  <si>
    <t>(4) 20% du bénéfice net</t>
  </si>
  <si>
    <t>(5) Première tranche d'imposition : 20% du bénéfice net</t>
  </si>
  <si>
    <t>(6) Surtaxe</t>
  </si>
  <si>
    <t>(7) Premiére tranche d'impôt versé</t>
  </si>
  <si>
    <t>(8) Deuxième taux d'imposition</t>
  </si>
  <si>
    <t>(9) Sur les 50 000 autres francs de bénéfices</t>
  </si>
  <si>
    <t>(10) Deuxiéme tranche d'impôt versé</t>
  </si>
  <si>
    <t>(11) Restant  à être imposé</t>
  </si>
  <si>
    <t>(12) Troisiéme taux d'impôt</t>
  </si>
  <si>
    <t>(13) Troisième tranche d'impôt versé</t>
  </si>
  <si>
    <t>(14) Total de l'impôt à verser</t>
  </si>
  <si>
    <t>(15) Taux de base d'imposition maximal sur le bénéfice</t>
  </si>
  <si>
    <t>Taux de base au niveau régional (bénéfice avant impôt)</t>
  </si>
  <si>
    <t>Taux de base au niveau régional (Bénéfice après impôt)</t>
  </si>
  <si>
    <t>Tableau 4 : Synthése du calcul des taux effectifs et nominaux d'imposition des sociétés pour le calcul des EMTR et comparaison aux données de la charge fiscale (en terme de bénéfice net)</t>
  </si>
  <si>
    <t>tb retrouvé à partir de la charge fiscale</t>
  </si>
  <si>
    <t>Tableau 5 : Synthése du calcul des taux effectifs et nominaux d'imposition des sociétés pour le calcul des EMTR et comparaison aux données de la charge fiscale (en terme de bénéfice net)</t>
  </si>
  <si>
    <t>Tableau 6 : Synthése du calcul des taux effectifs et nominaux d'imposition des sociétés pour le calcul des EMTR et comparaison aux données de la charge fiscale</t>
  </si>
  <si>
    <t>Tableau 7 : Comparaison des montants d'impot effectifs calculés et des montants de la publication de la charge fiscale</t>
  </si>
  <si>
    <t>Tableau 8 : Récapitulatif des montants effectifs d'impôt à payer sur le bénéfice et le capital avec un bénéfice d'un million et un capital de deux millions</t>
  </si>
  <si>
    <t xml:space="preserve">Tableau 9 : Récapitulatif des taux effectifs d'impôt grevant le bénéfice et le capital </t>
  </si>
  <si>
    <t>Tableau 10 : Résumé du calcul des taux effectifs d'impositions y compris l'imposition du capital</t>
  </si>
  <si>
    <t>Tableau 11 : Détail du calcul des taux effectif d'imposition avec imposition du capital</t>
  </si>
  <si>
    <t>Tableau 12 :  Calcul du taux d'imposition global effectif (sans impôt sur le capital)</t>
  </si>
  <si>
    <t>Tableau 13 : Calcul du taux d'imposition maximal global  avec ou sans impôt sur le capital et en pourcentage ou non du bénéfice</t>
  </si>
  <si>
    <t>Tableau 14 : Calcul du taux d'imposition global nominal des sociétés (Confédération, canton, commune, paroisse)</t>
  </si>
  <si>
    <t>Tableau 15 : Calcul du taux d'imposition global nominal grevant l'actif net des sociétés (Confédération, cantons, communes, paroisses) en pourcentage du capital</t>
  </si>
  <si>
    <t>Tableau 16 : Multiplicateur à BE                                      (Personnes Morales)</t>
  </si>
  <si>
    <t>Tableau 17 : Multiplicateur à BE                                       (Personnes Morales)</t>
  </si>
  <si>
    <t>Tableau 18 : Barèmes de l'imposition du bénéfice</t>
  </si>
  <si>
    <t>Tableau 19 : Barèmes de l'imposition du capital</t>
  </si>
  <si>
    <t xml:space="preserve">« Quels taux nominaux et effectifs d’imposition des sociétés suisses pour le calcul des coins fiscaux ? </t>
  </si>
  <si>
    <t xml:space="preserve">Le procédé de la déduction fiscale en Suisse sur l’exemple de Zürich et de Berne » </t>
  </si>
  <si>
    <t>in :</t>
  </si>
  <si>
    <t>Annexe 2 : Cas de Berne</t>
  </si>
  <si>
    <t>1_Remarque'!A1</t>
  </si>
  <si>
    <t>Caroline Le Bourdonnec (2004)</t>
  </si>
  <si>
    <t>Les multiplicateurs utilisés ici proviennent d'une base mise à jour pour ces calculs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</si>
</sst>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000000000%"/>
    <numFmt numFmtId="166" formatCode="0.000%"/>
    <numFmt numFmtId="167" formatCode="0.0000000000000%"/>
    <numFmt numFmtId="168" formatCode="0.00000000000000000%"/>
    <numFmt numFmtId="169" formatCode="0.000000000000000%"/>
    <numFmt numFmtId="170" formatCode="0.0000%"/>
    <numFmt numFmtId="171" formatCode="0.00000%"/>
    <numFmt numFmtId="172" formatCode="0.0000000%"/>
    <numFmt numFmtId="173" formatCode="0.000000%"/>
    <numFmt numFmtId="174" formatCode="#,##0.0000"/>
    <numFmt numFmtId="175" formatCode="0.000"/>
    <numFmt numFmtId="176" formatCode="0.0"/>
    <numFmt numFmtId="177" formatCode="0.000000000000%"/>
    <numFmt numFmtId="178" formatCode="0.0000000000000000%"/>
    <numFmt numFmtId="179" formatCode="0.00000000000000%"/>
    <numFmt numFmtId="180" formatCode="0.00000000000%"/>
    <numFmt numFmtId="181" formatCode="0.000000000%"/>
    <numFmt numFmtId="182" formatCode="0.00000000%"/>
    <numFmt numFmtId="183" formatCode="0.0000000000"/>
    <numFmt numFmtId="184" formatCode="0.0000000"/>
    <numFmt numFmtId="185" formatCode="0.000000E+00"/>
    <numFmt numFmtId="186" formatCode="0.0000000E+00"/>
    <numFmt numFmtId="187" formatCode="0.00000E+00"/>
    <numFmt numFmtId="188" formatCode="0.00000000000"/>
    <numFmt numFmtId="189" formatCode="0.00000"/>
    <numFmt numFmtId="190" formatCode="0.0000"/>
    <numFmt numFmtId="191" formatCode="0.000000"/>
    <numFmt numFmtId="192" formatCode="0.000000000"/>
    <numFmt numFmtId="193" formatCode="0.00000000"/>
    <numFmt numFmtId="194" formatCode="&quot;Vrai&quot;;&quot;Vrai&quot;;&quot;Faux&quot;"/>
    <numFmt numFmtId="195" formatCode="&quot;Actif&quot;;&quot;Actif&quot;;&quot;Inactif&quot;"/>
    <numFmt numFmtId="196" formatCode="0.000000000000000000%"/>
  </numFmts>
  <fonts count="26">
    <font>
      <sz val="8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color indexed="62"/>
      <name val="Arial"/>
      <family val="0"/>
    </font>
    <font>
      <u val="single"/>
      <sz val="8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color indexed="8"/>
      <name val="Times"/>
      <family val="1"/>
    </font>
    <font>
      <b/>
      <sz val="12"/>
      <name val="Helvetica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name val="Arial"/>
      <family val="0"/>
    </font>
    <font>
      <b/>
      <sz val="13"/>
      <name val="Times New Roman"/>
      <family val="1"/>
    </font>
    <font>
      <b/>
      <vertAlign val="subscript"/>
      <sz val="13"/>
      <name val="Times New Roman"/>
      <family val="1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66" fontId="2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0" fontId="0" fillId="0" borderId="0" xfId="21" applyNumberFormat="1" applyAlignment="1">
      <alignment/>
    </xf>
    <xf numFmtId="0" fontId="2" fillId="4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8" fillId="0" borderId="0" xfId="21" applyNumberFormat="1" applyFont="1" applyAlignment="1">
      <alignment vertical="center"/>
    </xf>
    <xf numFmtId="0" fontId="1" fillId="5" borderId="2" xfId="0" applyFont="1" applyFill="1" applyBorder="1" applyAlignment="1">
      <alignment horizontal="left" vertical="center" wrapText="1"/>
    </xf>
    <xf numFmtId="10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10" fontId="1" fillId="3" borderId="1" xfId="21" applyNumberFormat="1" applyFont="1" applyFill="1" applyBorder="1" applyAlignment="1">
      <alignment vertical="center"/>
    </xf>
    <xf numFmtId="10" fontId="1" fillId="4" borderId="1" xfId="21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9" fontId="1" fillId="3" borderId="1" xfId="0" applyNumberFormat="1" applyFont="1" applyFill="1" applyBorder="1" applyAlignment="1">
      <alignment vertical="center"/>
    </xf>
    <xf numFmtId="164" fontId="1" fillId="4" borderId="1" xfId="21" applyNumberFormat="1" applyFont="1" applyFill="1" applyBorder="1" applyAlignment="1">
      <alignment vertical="center"/>
    </xf>
    <xf numFmtId="164" fontId="10" fillId="3" borderId="1" xfId="21" applyNumberFormat="1" applyFont="1" applyFill="1" applyBorder="1" applyAlignment="1">
      <alignment vertical="center"/>
    </xf>
    <xf numFmtId="0" fontId="1" fillId="3" borderId="1" xfId="21" applyNumberFormat="1" applyFont="1" applyFill="1" applyBorder="1" applyAlignment="1">
      <alignment vertical="center"/>
    </xf>
    <xf numFmtId="9" fontId="1" fillId="4" borderId="1" xfId="21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 vertical="center"/>
    </xf>
    <xf numFmtId="10" fontId="1" fillId="6" borderId="1" xfId="21" applyNumberFormat="1" applyFont="1" applyFill="1" applyBorder="1" applyAlignment="1">
      <alignment/>
    </xf>
    <xf numFmtId="0" fontId="1" fillId="6" borderId="1" xfId="21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" fillId="4" borderId="1" xfId="2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170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6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/>
    </xf>
    <xf numFmtId="10" fontId="2" fillId="4" borderId="2" xfId="0" applyNumberFormat="1" applyFont="1" applyFill="1" applyBorder="1" applyAlignment="1">
      <alignment horizontal="center" vertical="center" wrapText="1"/>
    </xf>
    <xf numFmtId="166" fontId="2" fillId="4" borderId="2" xfId="21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/>
    </xf>
    <xf numFmtId="10" fontId="2" fillId="4" borderId="6" xfId="21" applyNumberFormat="1" applyFont="1" applyFill="1" applyBorder="1" applyAlignment="1">
      <alignment horizontal="center" vertical="center" wrapText="1"/>
    </xf>
    <xf numFmtId="10" fontId="2" fillId="4" borderId="1" xfId="21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0" fontId="19" fillId="4" borderId="3" xfId="0" applyNumberFormat="1" applyFont="1" applyFill="1" applyBorder="1" applyAlignment="1">
      <alignment horizontal="center" vertical="center" wrapText="1"/>
    </xf>
    <xf numFmtId="10" fontId="19" fillId="4" borderId="1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0" fontId="19" fillId="4" borderId="3" xfId="21" applyNumberFormat="1" applyFont="1" applyFill="1" applyBorder="1" applyAlignment="1">
      <alignment horizontal="center" vertical="center" wrapText="1"/>
    </xf>
    <xf numFmtId="10" fontId="19" fillId="6" borderId="3" xfId="21" applyNumberFormat="1" applyFont="1" applyFill="1" applyBorder="1" applyAlignment="1">
      <alignment horizontal="center" vertical="center" wrapText="1"/>
    </xf>
    <xf numFmtId="10" fontId="19" fillId="4" borderId="1" xfId="21" applyNumberFormat="1" applyFont="1" applyFill="1" applyBorder="1" applyAlignment="1">
      <alignment horizontal="center" vertical="center" wrapText="1"/>
    </xf>
    <xf numFmtId="170" fontId="2" fillId="5" borderId="1" xfId="21" applyNumberFormat="1" applyFont="1" applyFill="1" applyBorder="1" applyAlignment="1">
      <alignment horizontal="center" vertical="center"/>
    </xf>
    <xf numFmtId="10" fontId="19" fillId="5" borderId="3" xfId="0" applyNumberFormat="1" applyFont="1" applyFill="1" applyBorder="1" applyAlignment="1">
      <alignment horizontal="center" vertical="center" wrapText="1"/>
    </xf>
    <xf numFmtId="10" fontId="19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10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70" fontId="2" fillId="7" borderId="1" xfId="0" applyNumberFormat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170" fontId="2" fillId="7" borderId="1" xfId="2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0" fontId="5" fillId="0" borderId="0" xfId="15" applyAlignment="1" quotePrefix="1">
      <alignment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70" fontId="1" fillId="4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70" fontId="1" fillId="6" borderId="1" xfId="21" applyNumberFormat="1" applyFont="1" applyFill="1" applyBorder="1" applyAlignment="1">
      <alignment/>
    </xf>
    <xf numFmtId="9" fontId="1" fillId="3" borderId="1" xfId="21" applyFont="1" applyFill="1" applyBorder="1" applyAlignment="1">
      <alignment vertical="center"/>
    </xf>
    <xf numFmtId="10" fontId="1" fillId="4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10" fontId="1" fillId="6" borderId="1" xfId="21" applyNumberFormat="1" applyFont="1" applyFill="1" applyBorder="1" applyAlignment="1">
      <alignment vertical="center"/>
    </xf>
    <xf numFmtId="0" fontId="5" fillId="2" borderId="1" xfId="15" applyNumberFormat="1" applyFill="1" applyBorder="1" applyAlignment="1" quotePrefix="1">
      <alignment horizontal="left" vertical="center"/>
    </xf>
    <xf numFmtId="0" fontId="5" fillId="2" borderId="1" xfId="15" applyFill="1" applyBorder="1" applyAlignment="1" quotePrefix="1">
      <alignment horizontal="left" vertical="center"/>
    </xf>
    <xf numFmtId="0" fontId="0" fillId="0" borderId="0" xfId="0" applyAlignment="1">
      <alignment horizontal="right"/>
    </xf>
    <xf numFmtId="166" fontId="2" fillId="3" borderId="1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170" fontId="2" fillId="5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171" fontId="2" fillId="5" borderId="1" xfId="2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1" fontId="2" fillId="4" borderId="1" xfId="21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6" fontId="2" fillId="4" borderId="1" xfId="21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71" fontId="2" fillId="4" borderId="1" xfId="0" applyNumberFormat="1" applyFont="1" applyFill="1" applyBorder="1" applyAlignment="1">
      <alignment horizontal="center" vertical="center"/>
    </xf>
    <xf numFmtId="173" fontId="2" fillId="4" borderId="1" xfId="2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2" fillId="4" borderId="5" xfId="0" applyFont="1" applyFill="1" applyBorder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71" fontId="2" fillId="2" borderId="1" xfId="21" applyNumberFormat="1" applyFont="1" applyFill="1" applyBorder="1" applyAlignment="1">
      <alignment horizontal="left" vertical="center"/>
    </xf>
    <xf numFmtId="0" fontId="2" fillId="4" borderId="1" xfId="21" applyNumberFormat="1" applyFont="1" applyFill="1" applyBorder="1" applyAlignment="1">
      <alignment horizontal="left" vertical="center"/>
    </xf>
    <xf numFmtId="171" fontId="2" fillId="4" borderId="1" xfId="21" applyNumberFormat="1" applyFont="1" applyFill="1" applyBorder="1" applyAlignment="1">
      <alignment horizontal="left" vertical="center"/>
    </xf>
    <xf numFmtId="170" fontId="2" fillId="4" borderId="1" xfId="21" applyNumberFormat="1" applyFont="1" applyFill="1" applyBorder="1" applyAlignment="1">
      <alignment horizontal="left" vertical="center"/>
    </xf>
    <xf numFmtId="1" fontId="2" fillId="4" borderId="1" xfId="21" applyNumberFormat="1" applyFont="1" applyFill="1" applyBorder="1" applyAlignment="1">
      <alignment horizontal="left" vertical="center"/>
    </xf>
    <xf numFmtId="1" fontId="2" fillId="4" borderId="1" xfId="21" applyNumberFormat="1" applyFont="1" applyFill="1" applyBorder="1" applyAlignment="1">
      <alignment horizontal="center" vertical="center"/>
    </xf>
    <xf numFmtId="166" fontId="2" fillId="6" borderId="1" xfId="21" applyNumberFormat="1" applyFont="1" applyFill="1" applyBorder="1" applyAlignment="1">
      <alignment horizontal="center" vertical="center"/>
    </xf>
    <xf numFmtId="173" fontId="2" fillId="6" borderId="1" xfId="2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0" fontId="2" fillId="6" borderId="1" xfId="21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190" fontId="2" fillId="4" borderId="1" xfId="21" applyNumberFormat="1" applyFont="1" applyFill="1" applyBorder="1" applyAlignment="1">
      <alignment horizontal="left" vertical="center"/>
    </xf>
    <xf numFmtId="0" fontId="2" fillId="5" borderId="1" xfId="21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/>
    </xf>
    <xf numFmtId="166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70" fontId="2" fillId="7" borderId="1" xfId="21" applyNumberFormat="1" applyFont="1" applyFill="1" applyBorder="1" applyAlignment="1">
      <alignment horizontal="center" vertical="center"/>
    </xf>
    <xf numFmtId="0" fontId="2" fillId="7" borderId="6" xfId="21" applyNumberFormat="1" applyFont="1" applyFill="1" applyBorder="1" applyAlignment="1">
      <alignment horizontal="center" vertical="center"/>
    </xf>
    <xf numFmtId="0" fontId="2" fillId="7" borderId="1" xfId="21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/>
    </xf>
    <xf numFmtId="0" fontId="1" fillId="5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/>
    </xf>
    <xf numFmtId="10" fontId="2" fillId="3" borderId="1" xfId="21" applyNumberFormat="1" applyFont="1" applyFill="1" applyBorder="1" applyAlignment="1">
      <alignment vertical="center"/>
    </xf>
    <xf numFmtId="0" fontId="2" fillId="3" borderId="1" xfId="21" applyNumberFormat="1" applyFont="1" applyFill="1" applyBorder="1" applyAlignment="1">
      <alignment vertical="center"/>
    </xf>
    <xf numFmtId="0" fontId="2" fillId="5" borderId="1" xfId="21" applyNumberFormat="1" applyFont="1" applyFill="1" applyBorder="1" applyAlignment="1">
      <alignment vertical="center"/>
    </xf>
    <xf numFmtId="10" fontId="2" fillId="4" borderId="1" xfId="21" applyNumberFormat="1" applyFont="1" applyFill="1" applyBorder="1" applyAlignment="1">
      <alignment vertical="center"/>
    </xf>
    <xf numFmtId="0" fontId="2" fillId="2" borderId="1" xfId="21" applyNumberFormat="1" applyFont="1" applyFill="1" applyBorder="1" applyAlignment="1">
      <alignment vertical="center"/>
    </xf>
    <xf numFmtId="10" fontId="2" fillId="4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170" fontId="2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0" fontId="2" fillId="5" borderId="1" xfId="21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vertical="center"/>
    </xf>
    <xf numFmtId="170" fontId="2" fillId="3" borderId="1" xfId="0" applyNumberFormat="1" applyFont="1" applyFill="1" applyBorder="1" applyAlignment="1">
      <alignment horizontal="center" vertical="center"/>
    </xf>
    <xf numFmtId="10" fontId="19" fillId="6" borderId="1" xfId="2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8" fillId="6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" fillId="3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1" fillId="6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1"/>
  <sheetViews>
    <sheetView tabSelected="1" workbookViewId="0" topLeftCell="A1">
      <selection activeCell="B7" sqref="B7"/>
    </sheetView>
  </sheetViews>
  <sheetFormatPr defaultColWidth="12" defaultRowHeight="11.25"/>
  <sheetData>
    <row r="4" ht="15.75">
      <c r="B4" s="222" t="s">
        <v>551</v>
      </c>
    </row>
    <row r="5" ht="15.75">
      <c r="B5" s="222" t="s">
        <v>550</v>
      </c>
    </row>
    <row r="6" ht="15.75">
      <c r="B6" s="223" t="s">
        <v>553</v>
      </c>
    </row>
    <row r="7" ht="15.75">
      <c r="B7" s="223" t="s">
        <v>548</v>
      </c>
    </row>
    <row r="8" ht="15.75">
      <c r="B8" s="223" t="s">
        <v>549</v>
      </c>
    </row>
    <row r="11" ht="15.75">
      <c r="B11" s="2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P16"/>
  <sheetViews>
    <sheetView workbookViewId="0" topLeftCell="H1">
      <selection activeCell="R5" sqref="R5"/>
    </sheetView>
  </sheetViews>
  <sheetFormatPr defaultColWidth="12" defaultRowHeight="11.25"/>
  <cols>
    <col min="1" max="1" width="5.33203125" style="0" customWidth="1"/>
    <col min="2" max="2" width="34.66015625" style="0" customWidth="1"/>
    <col min="3" max="3" width="42.16015625" style="0" customWidth="1"/>
    <col min="4" max="4" width="15.33203125" style="0" customWidth="1"/>
  </cols>
  <sheetData>
    <row r="1" spans="1:4" ht="11.25">
      <c r="A1" s="122" t="s">
        <v>318</v>
      </c>
      <c r="D1" s="10"/>
    </row>
    <row r="2" ht="12" thickBot="1"/>
    <row r="3" spans="2:16" ht="31.5" customHeight="1" thickBot="1">
      <c r="B3" s="258" t="s">
        <v>536</v>
      </c>
      <c r="C3" s="243"/>
      <c r="D3" s="111">
        <v>1991</v>
      </c>
      <c r="E3" s="111">
        <v>1992</v>
      </c>
      <c r="F3" s="111">
        <v>1993</v>
      </c>
      <c r="G3" s="111">
        <v>1994</v>
      </c>
      <c r="H3" s="111">
        <v>1995</v>
      </c>
      <c r="I3" s="111">
        <v>1996</v>
      </c>
      <c r="J3" s="111">
        <v>1997</v>
      </c>
      <c r="K3" s="111">
        <v>1998</v>
      </c>
      <c r="L3" s="111">
        <v>1999</v>
      </c>
      <c r="M3" s="111">
        <v>2000</v>
      </c>
      <c r="N3" s="111">
        <v>2001</v>
      </c>
      <c r="O3" s="111">
        <v>2002</v>
      </c>
      <c r="P3" s="111">
        <v>2003</v>
      </c>
    </row>
    <row r="4" spans="2:16" ht="52.5" customHeight="1" thickBot="1">
      <c r="B4" s="45" t="s">
        <v>246</v>
      </c>
      <c r="C4" s="78" t="s">
        <v>206</v>
      </c>
      <c r="D4" s="57">
        <f>'9_Recap  t'' pour montant'!D4*1000000</f>
        <v>242273.9987804304</v>
      </c>
      <c r="E4" s="57">
        <f>'9_Recap  t'' pour montant'!E4*1000000</f>
        <v>245230.61576035572</v>
      </c>
      <c r="F4" s="57">
        <f>'9_Recap  t'' pour montant'!F4*1000000</f>
        <v>245249.33945597432</v>
      </c>
      <c r="G4" s="57">
        <f>'9_Recap  t'' pour montant'!G4*1000000</f>
        <v>250635.94130981286</v>
      </c>
      <c r="H4" s="57">
        <f>'9_Recap  t'' pour montant'!H4*1000000</f>
        <v>247932.5624166374</v>
      </c>
      <c r="I4" s="57">
        <f>'9_Recap  t'' pour montant'!I4*1000000</f>
        <v>247932.5624166374</v>
      </c>
      <c r="J4" s="57">
        <f>'9_Recap  t'' pour montant'!J4*1000000</f>
        <v>247932.5624166374</v>
      </c>
      <c r="K4" s="57">
        <f>'9_Recap  t'' pour montant'!K4*1000000</f>
        <v>239343.6143206648</v>
      </c>
      <c r="L4" s="57">
        <f>'9_Recap  t'' pour montant'!L4*1000000</f>
        <v>239329.85343250577</v>
      </c>
      <c r="M4" s="57">
        <f>'9_Recap  t'' pour montant'!M4*1000000</f>
        <v>239329.85343250577</v>
      </c>
      <c r="N4" s="57">
        <f>'9_Recap  t'' pour montant'!N4*1000000</f>
        <v>217350.64839836082</v>
      </c>
      <c r="O4" s="57">
        <f>'9_Recap  t'' pour montant'!O4*1000000</f>
        <v>217350.64839836082</v>
      </c>
      <c r="P4" s="57">
        <f>'9_Recap  t'' pour montant'!P4*1000000</f>
        <v>215848.82355145318</v>
      </c>
    </row>
    <row r="5" spans="2:16" ht="57" customHeight="1" thickBot="1">
      <c r="B5" s="45" t="s">
        <v>247</v>
      </c>
      <c r="C5" s="78" t="s">
        <v>169</v>
      </c>
      <c r="D5" s="57">
        <f>'9_Recap  t'' pour montant'!D5*1000000</f>
        <v>75907.14811951782</v>
      </c>
      <c r="E5" s="57">
        <f>'9_Recap  t'' pour montant'!E5*1000000</f>
        <v>75617.39965548515</v>
      </c>
      <c r="F5" s="57">
        <f>'9_Recap  t'' pour montant'!F5*1000000</f>
        <v>75615.56473331452</v>
      </c>
      <c r="G5" s="57">
        <f>'9_Recap  t'' pour montant'!G5*1000000</f>
        <v>75087.67775163834</v>
      </c>
      <c r="H5" s="57">
        <f>'9_Recap  t'' pour montant'!H5*1000000</f>
        <v>75302.60888316954</v>
      </c>
      <c r="I5" s="57">
        <f>'9_Recap  t'' pour montant'!I5*1000000</f>
        <v>75302.60888316954</v>
      </c>
      <c r="J5" s="57">
        <f>'9_Recap  t'' pour montant'!J5*1000000</f>
        <v>75302.60888316954</v>
      </c>
      <c r="K5" s="57">
        <f>'9_Recap  t'' pour montant'!K5*1000000</f>
        <v>64655.79278274348</v>
      </c>
      <c r="L5" s="57">
        <f>'9_Recap  t'' pour montant'!L5*1000000</f>
        <v>64656.962458237016</v>
      </c>
      <c r="M5" s="57">
        <f>'9_Recap  t'' pour montant'!M5*1000000</f>
        <v>64656.962458237016</v>
      </c>
      <c r="N5" s="57">
        <f>'9_Recap  t'' pour montant'!N5*1000000</f>
        <v>66525.19488613933</v>
      </c>
      <c r="O5" s="57">
        <f>'9_Recap  t'' pour montant'!O5*1000000</f>
        <v>66525.19488613933</v>
      </c>
      <c r="P5" s="57">
        <f>'9_Recap  t'' pour montant'!P5*1000000</f>
        <v>66652.84999812649</v>
      </c>
    </row>
    <row r="6" spans="2:16" ht="36" customHeight="1" thickBot="1">
      <c r="B6" s="45" t="s">
        <v>248</v>
      </c>
      <c r="C6" s="78" t="s">
        <v>171</v>
      </c>
      <c r="D6" s="57">
        <f>'9_Recap  t'' pour montant'!D6*1000000</f>
        <v>74257.14811951782</v>
      </c>
      <c r="E6" s="57">
        <f>'9_Recap  t'' pour montant'!E6*1000000</f>
        <v>73967.39965548515</v>
      </c>
      <c r="F6" s="57">
        <f>'9_Recap  t'' pour montant'!F6*1000000</f>
        <v>73965.56473331452</v>
      </c>
      <c r="G6" s="57">
        <f>'9_Recap  t'' pour montant'!G6*1000000</f>
        <v>73437.67775163834</v>
      </c>
      <c r="H6" s="57">
        <f>'9_Recap  t'' pour montant'!H6*1000000</f>
        <v>73702.60888316954</v>
      </c>
      <c r="I6" s="57">
        <f>'9_Recap  t'' pour montant'!I6*1000000</f>
        <v>73702.60888316954</v>
      </c>
      <c r="J6" s="57">
        <f>'9_Recap  t'' pour montant'!J6*1000000</f>
        <v>73702.60888316954</v>
      </c>
      <c r="K6" s="57">
        <f>'9_Recap  t'' pour montant'!K6*1000000</f>
        <v>64655.79278274348</v>
      </c>
      <c r="L6" s="57">
        <f>'9_Recap  t'' pour montant'!L6*1000000</f>
        <v>64656.962458237016</v>
      </c>
      <c r="M6" s="57">
        <f>'9_Recap  t'' pour montant'!M6*1000000</f>
        <v>64656.962458237016</v>
      </c>
      <c r="N6" s="57">
        <f>'9_Recap  t'' pour montant'!N6*1000000</f>
        <v>66525.19488613933</v>
      </c>
      <c r="O6" s="57">
        <f>'9_Recap  t'' pour montant'!O6*1000000</f>
        <v>66525.19488613933</v>
      </c>
      <c r="P6" s="57">
        <f>'9_Recap  t'' pour montant'!P6*1000000</f>
        <v>66652.84999812649</v>
      </c>
    </row>
    <row r="7" spans="2:16" ht="31.5" customHeight="1" thickBot="1">
      <c r="B7" s="45" t="s">
        <v>249</v>
      </c>
      <c r="C7" s="78" t="s">
        <v>170</v>
      </c>
      <c r="D7" s="57">
        <f>'9_Recap  t'' pour montant'!D7*1000000</f>
        <v>1650</v>
      </c>
      <c r="E7" s="57">
        <f>'9_Recap  t'' pour montant'!E7*1000000</f>
        <v>1650</v>
      </c>
      <c r="F7" s="57">
        <f>'9_Recap  t'' pour montant'!F7*1000000</f>
        <v>1650</v>
      </c>
      <c r="G7" s="57">
        <f>'9_Recap  t'' pour montant'!G7*1000000</f>
        <v>1650</v>
      </c>
      <c r="H7" s="57">
        <f>'9_Recap  t'' pour montant'!H7*1000000</f>
        <v>1600</v>
      </c>
      <c r="I7" s="57">
        <f>'9_Recap  t'' pour montant'!I7*1000000</f>
        <v>1600</v>
      </c>
      <c r="J7" s="57">
        <f>'9_Recap  t'' pour montant'!J7*1000000</f>
        <v>1600</v>
      </c>
      <c r="K7" s="57">
        <f>'9_Recap  t'' pour montant'!K7*1000000</f>
        <v>0</v>
      </c>
      <c r="L7" s="57">
        <f>'9_Recap  t'' pour montant'!L7*1000000</f>
        <v>0</v>
      </c>
      <c r="M7" s="57">
        <f>'9_Recap  t'' pour montant'!M7*1000000</f>
        <v>0</v>
      </c>
      <c r="N7" s="57">
        <f>'9_Recap  t'' pour montant'!N7*1000000</f>
        <v>0</v>
      </c>
      <c r="O7" s="57">
        <f>'9_Recap  t'' pour montant'!O7*1000000</f>
        <v>0</v>
      </c>
      <c r="P7" s="57">
        <f>'9_Recap  t'' pour montant'!P7*1000000</f>
        <v>0</v>
      </c>
    </row>
    <row r="8" spans="2:16" ht="53.25" customHeight="1" thickBot="1">
      <c r="B8" s="45" t="s">
        <v>250</v>
      </c>
      <c r="C8" s="78" t="s">
        <v>172</v>
      </c>
      <c r="D8" s="57">
        <f>'9_Recap  t'' pour montant'!D8*1000000</f>
        <v>166366.85066091258</v>
      </c>
      <c r="E8" s="57">
        <f>'9_Recap  t'' pour montant'!E8*1000000</f>
        <v>169613.21610487063</v>
      </c>
      <c r="F8" s="57">
        <f>'9_Recap  t'' pour montant'!F8*1000000</f>
        <v>169633.77472265981</v>
      </c>
      <c r="G8" s="57">
        <f>'9_Recap  t'' pour montant'!G8*1000000</f>
        <v>175548.2635581745</v>
      </c>
      <c r="H8" s="57">
        <f>'9_Recap  t'' pour montant'!H8*1000000</f>
        <v>172629.95353346792</v>
      </c>
      <c r="I8" s="57">
        <f>'9_Recap  t'' pour montant'!I8*1000000</f>
        <v>172629.95353346792</v>
      </c>
      <c r="J8" s="57">
        <f>'9_Recap  t'' pour montant'!J8*1000000</f>
        <v>172629.95353346792</v>
      </c>
      <c r="K8" s="57">
        <f>'9_Recap  t'' pour montant'!K8*1000000</f>
        <v>174687.82153792126</v>
      </c>
      <c r="L8" s="57">
        <f>'9_Recap  t'' pour montant'!L8*1000000</f>
        <v>174672.89097426875</v>
      </c>
      <c r="M8" s="57">
        <f>'9_Recap  t'' pour montant'!M8*1000000</f>
        <v>174672.89097426875</v>
      </c>
      <c r="N8" s="57">
        <f>'9_Recap  t'' pour montant'!N8*1000000</f>
        <v>150825.45351222146</v>
      </c>
      <c r="O8" s="57">
        <f>'9_Recap  t'' pour montant'!O8*1000000</f>
        <v>150825.45351222146</v>
      </c>
      <c r="P8" s="57">
        <f>'9_Recap  t'' pour montant'!P8*1000000</f>
        <v>149195.97355332668</v>
      </c>
    </row>
    <row r="9" spans="2:16" ht="26.25" thickBot="1">
      <c r="B9" s="45" t="s">
        <v>251</v>
      </c>
      <c r="C9" s="78" t="s">
        <v>173</v>
      </c>
      <c r="D9" s="57">
        <f>'9_Recap  t'' pour montant'!D9*1000000</f>
        <v>157793.62930091258</v>
      </c>
      <c r="E9" s="57">
        <f>'9_Recap  t'' pour montant'!E9*1000000</f>
        <v>160836.9725348706</v>
      </c>
      <c r="F9" s="57">
        <f>'9_Recap  t'' pour montant'!F9*1000000</f>
        <v>160856.24016265981</v>
      </c>
      <c r="G9" s="57">
        <f>'9_Recap  t'' pour montant'!G9*1000000</f>
        <v>166396.52899817453</v>
      </c>
      <c r="H9" s="57">
        <f>'9_Recap  t'' pour montant'!H9*1000000</f>
        <v>163664.1215334679</v>
      </c>
      <c r="I9" s="57">
        <f>'9_Recap  t'' pour montant'!I9*1000000</f>
        <v>163664.1215334679</v>
      </c>
      <c r="J9" s="57">
        <f>'9_Recap  t'' pour montant'!J9*1000000</f>
        <v>163664.1215334679</v>
      </c>
      <c r="K9" s="57">
        <f>'9_Recap  t'' pour montant'!K9*1000000</f>
        <v>165721.98953792124</v>
      </c>
      <c r="L9" s="57">
        <f>'9_Recap  t'' pour montant'!L9*1000000</f>
        <v>165707.99447426875</v>
      </c>
      <c r="M9" s="57">
        <f>'9_Recap  t'' pour montant'!M9*1000000</f>
        <v>165707.99447426875</v>
      </c>
      <c r="N9" s="57">
        <f>'9_Recap  t'' pour montant'!N9*1000000</f>
        <v>146033.95351222146</v>
      </c>
      <c r="O9" s="57">
        <f>'9_Recap  t'' pour montant'!O9*1000000</f>
        <v>146033.95351222146</v>
      </c>
      <c r="P9" s="57">
        <f>'9_Recap  t'' pour montant'!P9*1000000</f>
        <v>146321.07355332669</v>
      </c>
    </row>
    <row r="10" spans="2:16" ht="36" customHeight="1" thickBot="1">
      <c r="B10" s="45" t="s">
        <v>252</v>
      </c>
      <c r="C10" s="78" t="s">
        <v>174</v>
      </c>
      <c r="D10" s="57">
        <f>'9_Recap  t'' pour montant'!D10*1000000</f>
        <v>8573.221360000001</v>
      </c>
      <c r="E10" s="57">
        <f>'9_Recap  t'' pour montant'!E10*1000000</f>
        <v>8776.24357</v>
      </c>
      <c r="F10" s="57">
        <f>'9_Recap  t'' pour montant'!F10*1000000</f>
        <v>8777.53456</v>
      </c>
      <c r="G10" s="57">
        <f>'9_Recap  t'' pour montant'!G10*1000000</f>
        <v>9151.734559999997</v>
      </c>
      <c r="H10" s="57">
        <f>'9_Recap  t'' pour montant'!H10*1000000</f>
        <v>8965.832</v>
      </c>
      <c r="I10" s="57">
        <f>'9_Recap  t'' pour montant'!I10*1000000</f>
        <v>8965.832</v>
      </c>
      <c r="J10" s="57">
        <f>'9_Recap  t'' pour montant'!J10*1000000</f>
        <v>8965.832</v>
      </c>
      <c r="K10" s="57">
        <f>'9_Recap  t'' pour montant'!K10*1000000</f>
        <v>8965.832</v>
      </c>
      <c r="L10" s="57">
        <f>'9_Recap  t'' pour montant'!L10*1000000</f>
        <v>8964.896499999997</v>
      </c>
      <c r="M10" s="57">
        <f>'9_Recap  t'' pour montant'!M10*1000000</f>
        <v>8964.896499999997</v>
      </c>
      <c r="N10" s="57">
        <f>'9_Recap  t'' pour montant'!N10*1000000</f>
        <v>4791.499999999999</v>
      </c>
      <c r="O10" s="57">
        <f>'9_Recap  t'' pour montant'!O10*1000000</f>
        <v>4791.499999999999</v>
      </c>
      <c r="P10" s="57">
        <f>'9_Recap  t'' pour montant'!P10*1000000</f>
        <v>2874.899999999999</v>
      </c>
    </row>
    <row r="11" spans="2:16" ht="35.25" customHeight="1" thickBot="1">
      <c r="B11" s="45" t="s">
        <v>253</v>
      </c>
      <c r="C11" s="78" t="s">
        <v>175</v>
      </c>
      <c r="D11" s="57">
        <f>'9_Recap  t'' pour montant'!D11*1000000</f>
        <v>232050.7774204304</v>
      </c>
      <c r="E11" s="57">
        <f>'9_Recap  t'' pour montant'!E11*1000000</f>
        <v>234804.37219035576</v>
      </c>
      <c r="F11" s="57">
        <f>'9_Recap  t'' pour montant'!F11*1000000</f>
        <v>234821.80489597432</v>
      </c>
      <c r="G11" s="57">
        <f>'9_Recap  t'' pour montant'!G11*1000000</f>
        <v>239834.20674981287</v>
      </c>
      <c r="H11" s="57">
        <f>'9_Recap  t'' pour montant'!H11*1000000</f>
        <v>237366.73041663744</v>
      </c>
      <c r="I11" s="57">
        <f>'9_Recap  t'' pour montant'!I11*1000000</f>
        <v>237366.73041663744</v>
      </c>
      <c r="J11" s="57">
        <f>'9_Recap  t'' pour montant'!J11*1000000</f>
        <v>237366.73041663744</v>
      </c>
      <c r="K11" s="57">
        <f>'9_Recap  t'' pour montant'!K11*1000000</f>
        <v>230377.78232066476</v>
      </c>
      <c r="L11" s="57">
        <f>'9_Recap  t'' pour montant'!L11*1000000</f>
        <v>230364.95693250577</v>
      </c>
      <c r="M11" s="57">
        <f>'9_Recap  t'' pour montant'!M11*1000000</f>
        <v>230364.95693250577</v>
      </c>
      <c r="N11" s="57">
        <f>'9_Recap  t'' pour montant'!N11*1000000</f>
        <v>212559.1483983608</v>
      </c>
      <c r="O11" s="57">
        <f>'9_Recap  t'' pour montant'!O11*1000000</f>
        <v>212559.1483983608</v>
      </c>
      <c r="P11" s="57">
        <f>'9_Recap  t'' pour montant'!P11*1000000</f>
        <v>212973.92355145316</v>
      </c>
    </row>
    <row r="12" spans="2:16" ht="33" customHeight="1" thickBot="1">
      <c r="B12" s="45" t="s">
        <v>254</v>
      </c>
      <c r="C12" s="78" t="s">
        <v>176</v>
      </c>
      <c r="D12" s="57">
        <f>'9_Recap  t'' pour montant'!D12*1000000</f>
        <v>10223.221360000001</v>
      </c>
      <c r="E12" s="57">
        <f>'9_Recap  t'' pour montant'!E12*1000000</f>
        <v>10426.24357</v>
      </c>
      <c r="F12" s="57">
        <f>'9_Recap  t'' pour montant'!F12*1000000</f>
        <v>10427.53456</v>
      </c>
      <c r="G12" s="57">
        <f>'9_Recap  t'' pour montant'!G12*1000000</f>
        <v>10801.734559999999</v>
      </c>
      <c r="H12" s="57">
        <f>'9_Recap  t'' pour montant'!H12*1000000</f>
        <v>10565.832</v>
      </c>
      <c r="I12" s="57">
        <f>'9_Recap  t'' pour montant'!I12*1000000</f>
        <v>10565.832</v>
      </c>
      <c r="J12" s="57">
        <f>'9_Recap  t'' pour montant'!J12*1000000</f>
        <v>10565.832</v>
      </c>
      <c r="K12" s="57">
        <f>'9_Recap  t'' pour montant'!K12*1000000</f>
        <v>8965.832</v>
      </c>
      <c r="L12" s="57">
        <f>'9_Recap  t'' pour montant'!L12*1000000</f>
        <v>8964.896499999997</v>
      </c>
      <c r="M12" s="57">
        <f>'9_Recap  t'' pour montant'!M12*1000000</f>
        <v>8964.896499999997</v>
      </c>
      <c r="N12" s="57">
        <f>'9_Recap  t'' pour montant'!N12*1000000</f>
        <v>4791.499999999999</v>
      </c>
      <c r="O12" s="57">
        <f>'9_Recap  t'' pour montant'!O12*1000000</f>
        <v>4791.499999999999</v>
      </c>
      <c r="P12" s="57">
        <f>'9_Recap  t'' pour montant'!P12*1000000</f>
        <v>2874.899999999999</v>
      </c>
    </row>
    <row r="13" ht="11.25">
      <c r="D13" s="72"/>
    </row>
    <row r="15" ht="11.25">
      <c r="D15" s="42"/>
    </row>
    <row r="16" ht="11.25">
      <c r="D16" s="42"/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P17"/>
  <sheetViews>
    <sheetView workbookViewId="0" topLeftCell="J1">
      <selection activeCell="S8" sqref="S8"/>
    </sheetView>
  </sheetViews>
  <sheetFormatPr defaultColWidth="12" defaultRowHeight="11.25"/>
  <cols>
    <col min="1" max="1" width="5.33203125" style="0" customWidth="1"/>
    <col min="2" max="2" width="34.66015625" style="0" customWidth="1"/>
    <col min="3" max="3" width="42.16015625" style="0" customWidth="1"/>
    <col min="4" max="4" width="15.33203125" style="0" customWidth="1"/>
  </cols>
  <sheetData>
    <row r="1" ht="11.25">
      <c r="A1" s="122" t="s">
        <v>318</v>
      </c>
    </row>
    <row r="2" ht="12" thickBot="1"/>
    <row r="3" spans="2:16" ht="31.5" customHeight="1" thickBot="1">
      <c r="B3" s="258" t="s">
        <v>537</v>
      </c>
      <c r="C3" s="243"/>
      <c r="D3" s="111">
        <v>1991</v>
      </c>
      <c r="E3" s="111">
        <v>1992</v>
      </c>
      <c r="F3" s="111">
        <v>1993</v>
      </c>
      <c r="G3" s="111">
        <v>1994</v>
      </c>
      <c r="H3" s="111">
        <v>1995</v>
      </c>
      <c r="I3" s="111">
        <v>1996</v>
      </c>
      <c r="J3" s="111">
        <v>1997</v>
      </c>
      <c r="K3" s="111">
        <v>1998</v>
      </c>
      <c r="L3" s="111">
        <v>1999</v>
      </c>
      <c r="M3" s="111">
        <v>2000</v>
      </c>
      <c r="N3" s="111">
        <v>2001</v>
      </c>
      <c r="O3" s="111">
        <v>2002</v>
      </c>
      <c r="P3" s="111">
        <v>2003</v>
      </c>
    </row>
    <row r="4" spans="2:16" ht="52.5" customHeight="1" thickBot="1">
      <c r="B4" s="45" t="s">
        <v>177</v>
      </c>
      <c r="C4" s="78" t="s">
        <v>168</v>
      </c>
      <c r="D4" s="79">
        <f>'10_ t'' pour version texte'!D22</f>
        <v>0.2422739987804304</v>
      </c>
      <c r="E4" s="79">
        <f>'10_ t'' pour version texte'!E22</f>
        <v>0.24523061576035574</v>
      </c>
      <c r="F4" s="79">
        <f>'10_ t'' pour version texte'!F22</f>
        <v>0.24524933945597432</v>
      </c>
      <c r="G4" s="79">
        <f>'10_ t'' pour version texte'!G22</f>
        <v>0.25063594130981287</v>
      </c>
      <c r="H4" s="79">
        <f>'10_ t'' pour version texte'!H22</f>
        <v>0.24793256241663741</v>
      </c>
      <c r="I4" s="79">
        <f>'10_ t'' pour version texte'!I22</f>
        <v>0.24793256241663741</v>
      </c>
      <c r="J4" s="79">
        <f>'10_ t'' pour version texte'!J22</f>
        <v>0.24793256241663741</v>
      </c>
      <c r="K4" s="79">
        <f>'10_ t'' pour version texte'!K22</f>
        <v>0.2393436143206648</v>
      </c>
      <c r="L4" s="79">
        <f>'10_ t'' pour version texte'!L22</f>
        <v>0.23932985343250576</v>
      </c>
      <c r="M4" s="79">
        <f>'10_ t'' pour version texte'!M22</f>
        <v>0.23932985343250576</v>
      </c>
      <c r="N4" s="79">
        <f>'10_ t'' pour version texte'!N22</f>
        <v>0.21735064839836082</v>
      </c>
      <c r="O4" s="79">
        <f>'10_ t'' pour version texte'!O22</f>
        <v>0.21735064839836082</v>
      </c>
      <c r="P4" s="79">
        <f>'10_ t'' pour version texte'!P22</f>
        <v>0.21584882355145318</v>
      </c>
    </row>
    <row r="5" spans="2:16" ht="57" customHeight="1" thickBot="1">
      <c r="B5" s="45" t="s">
        <v>178</v>
      </c>
      <c r="C5" s="78" t="s">
        <v>167</v>
      </c>
      <c r="D5" s="79">
        <f>'10_ t'' pour version texte'!D23</f>
        <v>0.07590714811951782</v>
      </c>
      <c r="E5" s="79">
        <f>'10_ t'' pour version texte'!E23</f>
        <v>0.07561739965548514</v>
      </c>
      <c r="F5" s="79">
        <f>'10_ t'' pour version texte'!F23</f>
        <v>0.07561556473331452</v>
      </c>
      <c r="G5" s="79">
        <f>'10_ t'' pour version texte'!G23</f>
        <v>0.07508767775163834</v>
      </c>
      <c r="H5" s="79">
        <f>'10_ t'' pour version texte'!H23</f>
        <v>0.07530260888316954</v>
      </c>
      <c r="I5" s="79">
        <f>'10_ t'' pour version texte'!I23</f>
        <v>0.07530260888316954</v>
      </c>
      <c r="J5" s="79">
        <f>'10_ t'' pour version texte'!J23</f>
        <v>0.07530260888316954</v>
      </c>
      <c r="K5" s="79">
        <f>'10_ t'' pour version texte'!K23</f>
        <v>0.06465579278274348</v>
      </c>
      <c r="L5" s="79">
        <f>'10_ t'' pour version texte'!L23</f>
        <v>0.06465696245823702</v>
      </c>
      <c r="M5" s="79">
        <f>'10_ t'' pour version texte'!M23</f>
        <v>0.06465696245823702</v>
      </c>
      <c r="N5" s="79">
        <f>'10_ t'' pour version texte'!N23</f>
        <v>0.06652519488613934</v>
      </c>
      <c r="O5" s="79">
        <f>'10_ t'' pour version texte'!O23</f>
        <v>0.06652519488613934</v>
      </c>
      <c r="P5" s="79">
        <f>'10_ t'' pour version texte'!P23</f>
        <v>0.06665284999812648</v>
      </c>
    </row>
    <row r="6" spans="2:16" ht="36" customHeight="1" thickBot="1">
      <c r="B6" s="45" t="s">
        <v>179</v>
      </c>
      <c r="C6" s="78" t="s">
        <v>166</v>
      </c>
      <c r="D6" s="79">
        <f>'10_ t'' pour version texte'!D24</f>
        <v>0.07425714811951782</v>
      </c>
      <c r="E6" s="79">
        <f>'10_ t'' pour version texte'!E24</f>
        <v>0.07396739965548514</v>
      </c>
      <c r="F6" s="79">
        <f>'10_ t'' pour version texte'!F24</f>
        <v>0.07396556473331452</v>
      </c>
      <c r="G6" s="79">
        <f>'10_ t'' pour version texte'!G24</f>
        <v>0.07343767775163834</v>
      </c>
      <c r="H6" s="79">
        <f>'10_ t'' pour version texte'!H24</f>
        <v>0.07370260888316954</v>
      </c>
      <c r="I6" s="79">
        <f>'10_ t'' pour version texte'!I24</f>
        <v>0.07370260888316954</v>
      </c>
      <c r="J6" s="79">
        <f>'10_ t'' pour version texte'!J24</f>
        <v>0.07370260888316954</v>
      </c>
      <c r="K6" s="79">
        <f>'10_ t'' pour version texte'!K24</f>
        <v>0.06465579278274348</v>
      </c>
      <c r="L6" s="79">
        <f>'10_ t'' pour version texte'!L24</f>
        <v>0.06465696245823702</v>
      </c>
      <c r="M6" s="79">
        <f>'10_ t'' pour version texte'!M24</f>
        <v>0.06465696245823702</v>
      </c>
      <c r="N6" s="79">
        <f>'10_ t'' pour version texte'!N24</f>
        <v>0.06652519488613934</v>
      </c>
      <c r="O6" s="79">
        <f>'10_ t'' pour version texte'!O24</f>
        <v>0.06652519488613934</v>
      </c>
      <c r="P6" s="79">
        <f>'10_ t'' pour version texte'!P24</f>
        <v>0.06665284999812648</v>
      </c>
    </row>
    <row r="7" spans="2:16" ht="31.5" customHeight="1" thickBot="1">
      <c r="B7" s="45" t="s">
        <v>180</v>
      </c>
      <c r="C7" s="75" t="s">
        <v>158</v>
      </c>
      <c r="D7" s="79">
        <f>'10_ t'' pour version texte'!D15</f>
        <v>0.00165</v>
      </c>
      <c r="E7" s="79">
        <f>'10_ t'' pour version texte'!E15</f>
        <v>0.00165</v>
      </c>
      <c r="F7" s="79">
        <f>'10_ t'' pour version texte'!F15</f>
        <v>0.00165</v>
      </c>
      <c r="G7" s="79">
        <f>'10_ t'' pour version texte'!G15</f>
        <v>0.00165</v>
      </c>
      <c r="H7" s="79">
        <f>'10_ t'' pour version texte'!H15</f>
        <v>0.0016</v>
      </c>
      <c r="I7" s="79">
        <f>'10_ t'' pour version texte'!I15</f>
        <v>0.0016</v>
      </c>
      <c r="J7" s="79">
        <f>'10_ t'' pour version texte'!J15</f>
        <v>0.0016</v>
      </c>
      <c r="K7" s="79">
        <f>'10_ t'' pour version texte'!K15</f>
        <v>0</v>
      </c>
      <c r="L7" s="79">
        <f>'10_ t'' pour version texte'!L15</f>
        <v>0</v>
      </c>
      <c r="M7" s="79">
        <f>'10_ t'' pour version texte'!M15</f>
        <v>0</v>
      </c>
      <c r="N7" s="79">
        <f>'10_ t'' pour version texte'!N15</f>
        <v>0</v>
      </c>
      <c r="O7" s="79">
        <f>'10_ t'' pour version texte'!O15</f>
        <v>0</v>
      </c>
      <c r="P7" s="79">
        <f>'10_ t'' pour version texte'!P15</f>
        <v>0</v>
      </c>
    </row>
    <row r="8" spans="2:16" ht="55.5" customHeight="1" thickBot="1">
      <c r="B8" s="45" t="s">
        <v>181</v>
      </c>
      <c r="C8" s="78" t="s">
        <v>313</v>
      </c>
      <c r="D8" s="79">
        <f>'10_ t'' pour version texte'!D25</f>
        <v>0.16636685066091259</v>
      </c>
      <c r="E8" s="79">
        <f>'10_ t'' pour version texte'!E25</f>
        <v>0.16961321610487062</v>
      </c>
      <c r="F8" s="79">
        <f>'10_ t'' pour version texte'!F25</f>
        <v>0.1696337747226598</v>
      </c>
      <c r="G8" s="79">
        <f>'10_ t'' pour version texte'!G25</f>
        <v>0.17554826355817452</v>
      </c>
      <c r="H8" s="79">
        <f>'10_ t'' pour version texte'!H25</f>
        <v>0.1726299535334679</v>
      </c>
      <c r="I8" s="79">
        <f>'10_ t'' pour version texte'!I25</f>
        <v>0.1726299535334679</v>
      </c>
      <c r="J8" s="79">
        <f>'10_ t'' pour version texte'!J25</f>
        <v>0.1726299535334679</v>
      </c>
      <c r="K8" s="79">
        <f>'10_ t'' pour version texte'!K25</f>
        <v>0.17468782153792126</v>
      </c>
      <c r="L8" s="79">
        <f>'10_ t'' pour version texte'!L25</f>
        <v>0.17467289097426875</v>
      </c>
      <c r="M8" s="79">
        <f>'10_ t'' pour version texte'!M25</f>
        <v>0.17467289097426875</v>
      </c>
      <c r="N8" s="79">
        <f>'10_ t'' pour version texte'!N25</f>
        <v>0.15082545351222146</v>
      </c>
      <c r="O8" s="79">
        <f>'10_ t'' pour version texte'!O25</f>
        <v>0.15082545351222146</v>
      </c>
      <c r="P8" s="79">
        <f>'10_ t'' pour version texte'!P25</f>
        <v>0.14919597355332667</v>
      </c>
    </row>
    <row r="9" spans="2:16" ht="26.25" thickBot="1">
      <c r="B9" s="45" t="s">
        <v>182</v>
      </c>
      <c r="C9" s="78" t="s">
        <v>101</v>
      </c>
      <c r="D9" s="79">
        <f>'10_ t'' pour version texte'!D26</f>
        <v>0.1577936293009126</v>
      </c>
      <c r="E9" s="79">
        <f>'10_ t'' pour version texte'!E26</f>
        <v>0.16083697253487061</v>
      </c>
      <c r="F9" s="79">
        <f>'10_ t'' pour version texte'!F26</f>
        <v>0.1608562401626598</v>
      </c>
      <c r="G9" s="79">
        <f>'10_ t'' pour version texte'!G26</f>
        <v>0.16639652899817453</v>
      </c>
      <c r="H9" s="79">
        <f>'10_ t'' pour version texte'!H26</f>
        <v>0.1636641215334679</v>
      </c>
      <c r="I9" s="79">
        <f>'10_ t'' pour version texte'!I26</f>
        <v>0.1636641215334679</v>
      </c>
      <c r="J9" s="79">
        <f>'10_ t'' pour version texte'!J26</f>
        <v>0.1636641215334679</v>
      </c>
      <c r="K9" s="79">
        <f>'10_ t'' pour version texte'!K26</f>
        <v>0.16572198953792125</v>
      </c>
      <c r="L9" s="79">
        <f>'10_ t'' pour version texte'!L26</f>
        <v>0.16570799447426876</v>
      </c>
      <c r="M9" s="79">
        <f>'10_ t'' pour version texte'!M26</f>
        <v>0.16570799447426876</v>
      </c>
      <c r="N9" s="79">
        <f>'10_ t'' pour version texte'!N26</f>
        <v>0.14603395351222145</v>
      </c>
      <c r="O9" s="79">
        <f>'10_ t'' pour version texte'!O26</f>
        <v>0.14603395351222145</v>
      </c>
      <c r="P9" s="79">
        <f>'10_ t'' pour version texte'!P26</f>
        <v>0.14632107355332669</v>
      </c>
    </row>
    <row r="10" spans="2:16" ht="36" customHeight="1" thickBot="1">
      <c r="B10" s="45" t="s">
        <v>183</v>
      </c>
      <c r="C10" s="75" t="s">
        <v>159</v>
      </c>
      <c r="D10" s="79">
        <f>'10_ t'' pour version texte'!D18</f>
        <v>0.008573221360000001</v>
      </c>
      <c r="E10" s="79">
        <f>'10_ t'' pour version texte'!E18</f>
        <v>0.00877624357</v>
      </c>
      <c r="F10" s="79">
        <f>'10_ t'' pour version texte'!F18</f>
        <v>0.00877753456</v>
      </c>
      <c r="G10" s="79">
        <f>'10_ t'' pour version texte'!G18</f>
        <v>0.009151734559999998</v>
      </c>
      <c r="H10" s="79">
        <f>'10_ t'' pour version texte'!H18</f>
        <v>0.008965832</v>
      </c>
      <c r="I10" s="79">
        <f>'10_ t'' pour version texte'!I18</f>
        <v>0.008965832</v>
      </c>
      <c r="J10" s="79">
        <f>'10_ t'' pour version texte'!J18</f>
        <v>0.008965832</v>
      </c>
      <c r="K10" s="79">
        <f>'10_ t'' pour version texte'!K18</f>
        <v>0.008965832</v>
      </c>
      <c r="L10" s="79">
        <f>'10_ t'' pour version texte'!L18</f>
        <v>0.008964896499999998</v>
      </c>
      <c r="M10" s="79">
        <f>'10_ t'' pour version texte'!M18</f>
        <v>0.008964896499999998</v>
      </c>
      <c r="N10" s="79">
        <f>'10_ t'' pour version texte'!N18</f>
        <v>0.004791499999999999</v>
      </c>
      <c r="O10" s="79">
        <f>'10_ t'' pour version texte'!O18</f>
        <v>0.004791499999999999</v>
      </c>
      <c r="P10" s="79">
        <f>'10_ t'' pour version texte'!P18</f>
        <v>0.0028748999999999992</v>
      </c>
    </row>
    <row r="11" spans="2:16" ht="35.25" customHeight="1" thickBot="1">
      <c r="B11" s="45" t="s">
        <v>184</v>
      </c>
      <c r="C11" s="78" t="s">
        <v>102</v>
      </c>
      <c r="D11" s="79">
        <f>D6+D9</f>
        <v>0.2320507774204304</v>
      </c>
      <c r="E11" s="79">
        <f aca="true" t="shared" si="0" ref="E11:K11">E6+E9</f>
        <v>0.23480437219035577</v>
      </c>
      <c r="F11" s="79">
        <f t="shared" si="0"/>
        <v>0.23482180489597432</v>
      </c>
      <c r="G11" s="79">
        <f t="shared" si="0"/>
        <v>0.23983420674981287</v>
      </c>
      <c r="H11" s="79">
        <f t="shared" si="0"/>
        <v>0.23736673041663744</v>
      </c>
      <c r="I11" s="79">
        <f t="shared" si="0"/>
        <v>0.23736673041663744</v>
      </c>
      <c r="J11" s="79">
        <f t="shared" si="0"/>
        <v>0.23736673041663744</v>
      </c>
      <c r="K11" s="79">
        <f t="shared" si="0"/>
        <v>0.23037778232066475</v>
      </c>
      <c r="L11" s="79">
        <f aca="true" t="shared" si="1" ref="L11:P12">L6+L9</f>
        <v>0.23036495693250578</v>
      </c>
      <c r="M11" s="79">
        <f t="shared" si="1"/>
        <v>0.23036495693250578</v>
      </c>
      <c r="N11" s="79">
        <f t="shared" si="1"/>
        <v>0.2125591483983608</v>
      </c>
      <c r="O11" s="79">
        <f t="shared" si="1"/>
        <v>0.2125591483983608</v>
      </c>
      <c r="P11" s="79">
        <f t="shared" si="1"/>
        <v>0.21297392355145317</v>
      </c>
    </row>
    <row r="12" spans="2:16" ht="33" customHeight="1" thickBot="1">
      <c r="B12" s="45" t="s">
        <v>185</v>
      </c>
      <c r="C12" s="78" t="s">
        <v>143</v>
      </c>
      <c r="D12" s="79">
        <f>D7+D10</f>
        <v>0.010223221360000001</v>
      </c>
      <c r="E12" s="79">
        <f aca="true" t="shared" si="2" ref="E12:K12">E7+E10</f>
        <v>0.01042624357</v>
      </c>
      <c r="F12" s="79">
        <f t="shared" si="2"/>
        <v>0.01042753456</v>
      </c>
      <c r="G12" s="79">
        <f t="shared" si="2"/>
        <v>0.010801734559999998</v>
      </c>
      <c r="H12" s="79">
        <f t="shared" si="2"/>
        <v>0.010565832</v>
      </c>
      <c r="I12" s="79">
        <f t="shared" si="2"/>
        <v>0.010565832</v>
      </c>
      <c r="J12" s="79">
        <f t="shared" si="2"/>
        <v>0.010565832</v>
      </c>
      <c r="K12" s="79">
        <f t="shared" si="2"/>
        <v>0.008965832</v>
      </c>
      <c r="L12" s="79">
        <f t="shared" si="1"/>
        <v>0.008964896499999998</v>
      </c>
      <c r="M12" s="79">
        <f t="shared" si="1"/>
        <v>0.008964896499999998</v>
      </c>
      <c r="N12" s="79">
        <f t="shared" si="1"/>
        <v>0.004791499999999999</v>
      </c>
      <c r="O12" s="79">
        <f t="shared" si="1"/>
        <v>0.004791499999999999</v>
      </c>
      <c r="P12" s="79">
        <f t="shared" si="1"/>
        <v>0.0028748999999999992</v>
      </c>
    </row>
    <row r="13" spans="2:16" ht="7.5" customHeight="1" thickBot="1">
      <c r="B13" s="53"/>
      <c r="C13" s="6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6" ht="18" thickBot="1">
      <c r="B14" s="161" t="s">
        <v>397</v>
      </c>
      <c r="C14" s="162" t="s">
        <v>398</v>
      </c>
      <c r="D14" s="5">
        <f>D11+D12</f>
        <v>0.2422739987804304</v>
      </c>
      <c r="E14" s="5">
        <f>E11+E12</f>
        <v>0.24523061576035576</v>
      </c>
      <c r="F14" s="5">
        <f aca="true" t="shared" si="3" ref="F14:P14">F11+F12</f>
        <v>0.24524933945597432</v>
      </c>
      <c r="G14" s="5">
        <f t="shared" si="3"/>
        <v>0.25063594130981287</v>
      </c>
      <c r="H14" s="5">
        <f t="shared" si="3"/>
        <v>0.24793256241663744</v>
      </c>
      <c r="I14" s="5">
        <f t="shared" si="3"/>
        <v>0.24793256241663744</v>
      </c>
      <c r="J14" s="5">
        <f t="shared" si="3"/>
        <v>0.24793256241663744</v>
      </c>
      <c r="K14" s="5">
        <f t="shared" si="3"/>
        <v>0.23934361432066475</v>
      </c>
      <c r="L14" s="5">
        <f t="shared" si="3"/>
        <v>0.23932985343250576</v>
      </c>
      <c r="M14" s="5">
        <f t="shared" si="3"/>
        <v>0.23932985343250576</v>
      </c>
      <c r="N14" s="5">
        <f t="shared" si="3"/>
        <v>0.2173506483983608</v>
      </c>
      <c r="O14" s="5">
        <f t="shared" si="3"/>
        <v>0.2173506483983608</v>
      </c>
      <c r="P14" s="5">
        <f t="shared" si="3"/>
        <v>0.21584882355145316</v>
      </c>
    </row>
    <row r="15" spans="2:16" ht="26.25" thickBot="1">
      <c r="B15" s="161" t="s">
        <v>399</v>
      </c>
      <c r="C15" s="163" t="s">
        <v>400</v>
      </c>
      <c r="D15" s="5">
        <f>'6_Synthèse calcul taux_et cfis'!E25</f>
        <v>0.24519399083938373</v>
      </c>
      <c r="E15" s="5">
        <f>'6_Synthèse calcul taux_et cfis'!F25</f>
        <v>0.24824458628298124</v>
      </c>
      <c r="F15" s="5">
        <f>'6_Synthèse calcul taux_et cfis'!G25</f>
        <v>0.24826390968788764</v>
      </c>
      <c r="G15" s="5">
        <f>'6_Synthèse calcul taux_et cfis'!H25</f>
        <v>0.2538254266217608</v>
      </c>
      <c r="H15" s="5">
        <f>'6_Synthèse calcul taux_et cfis'!I25</f>
        <v>0.25103441489292444</v>
      </c>
      <c r="I15" s="5">
        <f>'6_Synthèse calcul taux_et cfis'!J25</f>
        <v>0.25103441489292444</v>
      </c>
      <c r="J15" s="5">
        <f>'6_Synthèse calcul taux_et cfis'!K25</f>
        <v>0.25103441489292444</v>
      </c>
      <c r="K15" s="5">
        <f>'6_Synthèse calcul taux_et cfis'!L25</f>
        <v>0.24236777365328827</v>
      </c>
      <c r="L15" s="5">
        <f>'6_Synthèse calcul taux_et cfis'!M25</f>
        <v>0.24235357735296925</v>
      </c>
      <c r="M15" s="5">
        <f>'6_Synthèse calcul taux_et cfis'!N25</f>
        <v>0.24235357735296925</v>
      </c>
      <c r="N15" s="5">
        <f>'6_Synthèse calcul taux_et cfis'!O25</f>
        <v>0.2179644110445946</v>
      </c>
      <c r="O15" s="5">
        <f>'6_Synthèse calcul taux_et cfis'!P25</f>
        <v>0.2179644110445946</v>
      </c>
      <c r="P15" s="5">
        <f>'6_Synthèse calcul taux_et cfis'!Q25</f>
        <v>0.21645834532088748</v>
      </c>
    </row>
    <row r="16" spans="2:16" ht="18" thickBot="1">
      <c r="B16" s="164" t="s">
        <v>401</v>
      </c>
      <c r="C16" s="163" t="s">
        <v>403</v>
      </c>
      <c r="D16" s="5">
        <f>'6_Synthèse calcul taux_et cfis'!E26</f>
        <v>0.242273</v>
      </c>
      <c r="E16" s="5">
        <f>'6_Synthèse calcul taux_et cfis'!F26</f>
        <v>0.245239</v>
      </c>
      <c r="F16" s="5">
        <f>'6_Synthèse calcul taux_et cfis'!G26</f>
        <v>0.245264</v>
      </c>
      <c r="G16" s="5">
        <f>'6_Synthèse calcul taux_et cfis'!H26</f>
        <v>0.250647</v>
      </c>
      <c r="H16" s="5">
        <f>'6_Synthèse calcul taux_et cfis'!I26</f>
        <v>0.247943</v>
      </c>
      <c r="I16" s="5">
        <f>'6_Synthèse calcul taux_et cfis'!J26</f>
        <v>0.247943</v>
      </c>
      <c r="J16" s="5">
        <f>'6_Synthèse calcul taux_et cfis'!K26</f>
        <v>0.247925</v>
      </c>
      <c r="K16" s="5">
        <f>'6_Synthèse calcul taux_et cfis'!L26</f>
        <v>0.239356</v>
      </c>
      <c r="L16" s="5">
        <f>'6_Synthèse calcul taux_et cfis'!M26</f>
        <v>0.239338</v>
      </c>
      <c r="M16" s="5">
        <f>'6_Synthèse calcul taux_et cfis'!N26</f>
        <v>0.239338</v>
      </c>
      <c r="N16" s="5">
        <f>'6_Synthèse calcul taux_et cfis'!O26</f>
        <v>0.217337</v>
      </c>
      <c r="O16" s="5">
        <f>'6_Synthèse calcul taux_et cfis'!P26</f>
        <v>0.217337</v>
      </c>
      <c r="P16" s="5">
        <f>'6_Synthèse calcul taux_et cfis'!Q26</f>
        <v>0.215834</v>
      </c>
    </row>
    <row r="17" spans="2:16" ht="18" thickBot="1">
      <c r="B17" s="161" t="s">
        <v>405</v>
      </c>
      <c r="C17" s="167" t="s">
        <v>406</v>
      </c>
      <c r="D17" s="5">
        <f>D14-D15</f>
        <v>-0.0029199920589533246</v>
      </c>
      <c r="E17" s="5">
        <f>E14-E15</f>
        <v>-0.0030139705226254754</v>
      </c>
      <c r="F17" s="5">
        <f aca="true" t="shared" si="4" ref="F17:P17">F14-F15</f>
        <v>-0.003014570231913316</v>
      </c>
      <c r="G17" s="5">
        <f t="shared" si="4"/>
        <v>-0.003189485311947904</v>
      </c>
      <c r="H17" s="5">
        <f t="shared" si="4"/>
        <v>-0.003101852476286998</v>
      </c>
      <c r="I17" s="5">
        <f t="shared" si="4"/>
        <v>-0.003101852476286998</v>
      </c>
      <c r="J17" s="5">
        <f t="shared" si="4"/>
        <v>-0.003101852476286998</v>
      </c>
      <c r="K17" s="5">
        <f t="shared" si="4"/>
        <v>-0.0030241593326235106</v>
      </c>
      <c r="L17" s="5">
        <f t="shared" si="4"/>
        <v>-0.003023723920463489</v>
      </c>
      <c r="M17" s="5">
        <f t="shared" si="4"/>
        <v>-0.003023723920463489</v>
      </c>
      <c r="N17" s="5">
        <f t="shared" si="4"/>
        <v>-0.0006137626462338064</v>
      </c>
      <c r="O17" s="5">
        <f t="shared" si="4"/>
        <v>-0.0006137626462338064</v>
      </c>
      <c r="P17" s="5">
        <f t="shared" si="4"/>
        <v>-0.0006095217694343236</v>
      </c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P33"/>
  <sheetViews>
    <sheetView workbookViewId="0" topLeftCell="J1">
      <selection activeCell="R8" sqref="R8"/>
    </sheetView>
  </sheetViews>
  <sheetFormatPr defaultColWidth="12" defaultRowHeight="11.25"/>
  <cols>
    <col min="2" max="2" width="59.83203125" style="0" customWidth="1"/>
    <col min="3" max="3" width="49" style="0" customWidth="1"/>
    <col min="4" max="4" width="18.33203125" style="0" customWidth="1"/>
    <col min="5" max="5" width="14" style="0" customWidth="1"/>
    <col min="6" max="6" width="19.16015625" style="0" customWidth="1"/>
    <col min="7" max="7" width="20.5" style="0" customWidth="1"/>
    <col min="8" max="8" width="20.33203125" style="0" customWidth="1"/>
    <col min="9" max="9" width="17.66015625" style="0" customWidth="1"/>
    <col min="10" max="10" width="18.66015625" style="0" customWidth="1"/>
    <col min="11" max="11" width="16.66015625" style="0" customWidth="1"/>
    <col min="12" max="12" width="21.66015625" style="0" customWidth="1"/>
    <col min="13" max="13" width="18" style="0" customWidth="1"/>
    <col min="14" max="14" width="13" style="0" customWidth="1"/>
    <col min="15" max="15" width="16.66015625" style="0" customWidth="1"/>
  </cols>
  <sheetData>
    <row r="1" ht="11.25">
      <c r="A1" s="122" t="s">
        <v>318</v>
      </c>
    </row>
    <row r="3" ht="1.5" customHeight="1" thickBot="1"/>
    <row r="4" spans="2:16" ht="42.75" customHeight="1" thickBot="1">
      <c r="B4" s="6" t="s">
        <v>538</v>
      </c>
      <c r="C4" s="98" t="s">
        <v>204</v>
      </c>
      <c r="D4" s="92">
        <v>1991</v>
      </c>
      <c r="E4" s="92">
        <f>D4+1</f>
        <v>1992</v>
      </c>
      <c r="F4" s="92">
        <f aca="true" t="shared" si="0" ref="F4:M4">E4+1</f>
        <v>1993</v>
      </c>
      <c r="G4" s="92">
        <f t="shared" si="0"/>
        <v>1994</v>
      </c>
      <c r="H4" s="92">
        <f t="shared" si="0"/>
        <v>1995</v>
      </c>
      <c r="I4" s="92">
        <f t="shared" si="0"/>
        <v>1996</v>
      </c>
      <c r="J4" s="92">
        <f t="shared" si="0"/>
        <v>1997</v>
      </c>
      <c r="K4" s="92">
        <f t="shared" si="0"/>
        <v>1998</v>
      </c>
      <c r="L4" s="92">
        <f t="shared" si="0"/>
        <v>1999</v>
      </c>
      <c r="M4" s="92">
        <f t="shared" si="0"/>
        <v>2000</v>
      </c>
      <c r="N4" s="92">
        <f>M4+1</f>
        <v>2001</v>
      </c>
      <c r="O4" s="92">
        <f>N4+1</f>
        <v>2002</v>
      </c>
      <c r="P4" s="92">
        <f>O4+1</f>
        <v>2003</v>
      </c>
    </row>
    <row r="5" spans="2:16" ht="16.5" thickBot="1">
      <c r="B5" s="48" t="s">
        <v>210</v>
      </c>
      <c r="C5" s="63" t="s">
        <v>90</v>
      </c>
      <c r="D5" s="54">
        <v>1000000</v>
      </c>
      <c r="E5" s="54">
        <v>1000000</v>
      </c>
      <c r="F5" s="54">
        <v>1000000</v>
      </c>
      <c r="G5" s="54">
        <v>1000000</v>
      </c>
      <c r="H5" s="54">
        <v>1000000</v>
      </c>
      <c r="I5" s="54">
        <v>1000000</v>
      </c>
      <c r="J5" s="54">
        <v>1000000</v>
      </c>
      <c r="K5" s="54">
        <v>1000000</v>
      </c>
      <c r="L5" s="54">
        <v>1000000</v>
      </c>
      <c r="M5" s="54">
        <v>1000000</v>
      </c>
      <c r="N5" s="54">
        <v>1000000</v>
      </c>
      <c r="O5" s="54">
        <v>1000000</v>
      </c>
      <c r="P5" s="54">
        <v>1000000</v>
      </c>
    </row>
    <row r="6" spans="2:16" ht="16.5" thickBot="1">
      <c r="B6" s="48" t="s">
        <v>211</v>
      </c>
      <c r="C6" s="63" t="s">
        <v>91</v>
      </c>
      <c r="D6" s="54">
        <v>2000000</v>
      </c>
      <c r="E6" s="54">
        <v>2000000</v>
      </c>
      <c r="F6" s="54">
        <v>2000000</v>
      </c>
      <c r="G6" s="54">
        <v>2000000</v>
      </c>
      <c r="H6" s="54">
        <v>2000000</v>
      </c>
      <c r="I6" s="54">
        <v>2000000</v>
      </c>
      <c r="J6" s="54">
        <v>2000000</v>
      </c>
      <c r="K6" s="54">
        <v>2000000</v>
      </c>
      <c r="L6" s="54">
        <v>2000000</v>
      </c>
      <c r="M6" s="54">
        <v>2000000</v>
      </c>
      <c r="N6" s="54">
        <v>2000000</v>
      </c>
      <c r="O6" s="54">
        <v>2000000</v>
      </c>
      <c r="P6" s="54">
        <v>2000000</v>
      </c>
    </row>
    <row r="7" spans="2:16" ht="16.5" thickBot="1">
      <c r="B7" s="64" t="s">
        <v>114</v>
      </c>
      <c r="C7" s="65" t="s">
        <v>115</v>
      </c>
      <c r="D7" s="55">
        <f aca="true" t="shared" si="1" ref="D7:P7">D5/D6</f>
        <v>0.5</v>
      </c>
      <c r="E7" s="55">
        <f t="shared" si="1"/>
        <v>0.5</v>
      </c>
      <c r="F7" s="55">
        <f t="shared" si="1"/>
        <v>0.5</v>
      </c>
      <c r="G7" s="55">
        <f t="shared" si="1"/>
        <v>0.5</v>
      </c>
      <c r="H7" s="55">
        <f t="shared" si="1"/>
        <v>0.5</v>
      </c>
      <c r="I7" s="55">
        <f t="shared" si="1"/>
        <v>0.5</v>
      </c>
      <c r="J7" s="55">
        <f t="shared" si="1"/>
        <v>0.5</v>
      </c>
      <c r="K7" s="55">
        <f t="shared" si="1"/>
        <v>0.5</v>
      </c>
      <c r="L7" s="55">
        <f t="shared" si="1"/>
        <v>0.5</v>
      </c>
      <c r="M7" s="55">
        <f t="shared" si="1"/>
        <v>0.5</v>
      </c>
      <c r="N7" s="55">
        <f t="shared" si="1"/>
        <v>0.5</v>
      </c>
      <c r="O7" s="55">
        <f t="shared" si="1"/>
        <v>0.5</v>
      </c>
      <c r="P7" s="55">
        <f t="shared" si="1"/>
        <v>0.5</v>
      </c>
    </row>
    <row r="8" spans="2:16" ht="16.5" thickBot="1">
      <c r="B8" s="64" t="s">
        <v>116</v>
      </c>
      <c r="C8" s="65" t="s">
        <v>117</v>
      </c>
      <c r="D8" s="56">
        <f aca="true" t="shared" si="2" ref="D8:P8">1/D7</f>
        <v>2</v>
      </c>
      <c r="E8" s="56">
        <f t="shared" si="2"/>
        <v>2</v>
      </c>
      <c r="F8" s="56">
        <f t="shared" si="2"/>
        <v>2</v>
      </c>
      <c r="G8" s="56">
        <f t="shared" si="2"/>
        <v>2</v>
      </c>
      <c r="H8" s="56">
        <f t="shared" si="2"/>
        <v>2</v>
      </c>
      <c r="I8" s="56">
        <f t="shared" si="2"/>
        <v>2</v>
      </c>
      <c r="J8" s="56">
        <f t="shared" si="2"/>
        <v>2</v>
      </c>
      <c r="K8" s="56">
        <f t="shared" si="2"/>
        <v>2</v>
      </c>
      <c r="L8" s="56">
        <f t="shared" si="2"/>
        <v>2</v>
      </c>
      <c r="M8" s="56">
        <f t="shared" si="2"/>
        <v>2</v>
      </c>
      <c r="N8" s="56">
        <f t="shared" si="2"/>
        <v>2</v>
      </c>
      <c r="O8" s="56">
        <f t="shared" si="2"/>
        <v>2</v>
      </c>
      <c r="P8" s="56">
        <f t="shared" si="2"/>
        <v>2</v>
      </c>
    </row>
    <row r="9" spans="2:16" ht="18" thickBot="1">
      <c r="B9" s="45" t="s">
        <v>155</v>
      </c>
      <c r="C9" s="66" t="s">
        <v>148</v>
      </c>
      <c r="D9" s="3">
        <f>'14_tc_Taux nominal bénéfice'!D7</f>
        <v>0.098</v>
      </c>
      <c r="E9" s="3">
        <f>'14_tc_Taux nominal bénéfice'!E7</f>
        <v>0.098</v>
      </c>
      <c r="F9" s="3">
        <f>'14_tc_Taux nominal bénéfice'!F7</f>
        <v>0.098</v>
      </c>
      <c r="G9" s="3">
        <f>'14_tc_Taux nominal bénéfice'!G7</f>
        <v>0.098</v>
      </c>
      <c r="H9" s="3">
        <f>'14_tc_Taux nominal bénéfice'!H7</f>
        <v>0.098</v>
      </c>
      <c r="I9" s="3">
        <f>'14_tc_Taux nominal bénéfice'!I7</f>
        <v>0.098</v>
      </c>
      <c r="J9" s="3">
        <f>'14_tc_Taux nominal bénéfice'!J7</f>
        <v>0.098</v>
      </c>
      <c r="K9" s="3">
        <f>'14_tc_Taux nominal bénéfice'!K7</f>
        <v>0.085</v>
      </c>
      <c r="L9" s="3">
        <f>'14_tc_Taux nominal bénéfice'!L7</f>
        <v>0.085</v>
      </c>
      <c r="M9" s="3">
        <f>'14_tc_Taux nominal bénéfice'!M7</f>
        <v>0.085</v>
      </c>
      <c r="N9" s="3">
        <f>'14_tc_Taux nominal bénéfice'!N7</f>
        <v>0.085</v>
      </c>
      <c r="O9" s="3">
        <f>'14_tc_Taux nominal bénéfice'!O7</f>
        <v>0.085</v>
      </c>
      <c r="P9" s="3">
        <f>'14_tc_Taux nominal bénéfice'!P7</f>
        <v>0.085</v>
      </c>
    </row>
    <row r="10" spans="2:16" ht="18" thickBot="1">
      <c r="B10" s="45" t="s">
        <v>130</v>
      </c>
      <c r="C10" s="66" t="s">
        <v>149</v>
      </c>
      <c r="D10" s="3">
        <f>'18_ Données taux bénéfice'!D7</f>
        <v>0.0454471888667232</v>
      </c>
      <c r="E10" s="3">
        <f>'18_ Données taux bénéfice'!E7</f>
        <v>0.04542937205164503</v>
      </c>
      <c r="F10" s="3">
        <f>'18_ Données taux bénéfice'!F7</f>
        <v>0.045429258778904386</v>
      </c>
      <c r="G10" s="3">
        <f>'18_ Données taux bénéfice'!G7</f>
        <v>0.04539643779221427</v>
      </c>
      <c r="H10" s="3">
        <f>'18_ Données taux bénéfice'!H7</f>
        <v>0.04541296826653552</v>
      </c>
      <c r="I10" s="3">
        <f>'18_ Données taux bénéfice'!I7</f>
        <v>0.04541296826653552</v>
      </c>
      <c r="J10" s="3">
        <f>'18_ Données taux bénéfice'!J7</f>
        <v>0.04541296826653552</v>
      </c>
      <c r="K10" s="3">
        <f>'18_ Données taux bénéfice'!K7</f>
        <v>0.045464750654390984</v>
      </c>
      <c r="L10" s="3">
        <f>'18_ Données taux bénéfice'!L7</f>
        <v>0.04546483261637598</v>
      </c>
      <c r="M10" s="3">
        <f>'18_ Données taux bénéfice'!M7</f>
        <v>0.04546483261637598</v>
      </c>
      <c r="N10" s="3">
        <f>'18_ Données taux bénéfice'!N7</f>
        <v>0.03894171917436863</v>
      </c>
      <c r="O10" s="3">
        <f>'18_ Données taux bénéfice'!O7</f>
        <v>0.03894171917436863</v>
      </c>
      <c r="P10" s="3">
        <f>'18_ Données taux bénéfice'!P7</f>
        <v>0.03894355446723998</v>
      </c>
    </row>
    <row r="11" spans="2:16" ht="27.75" customHeight="1" thickBot="1">
      <c r="B11" s="45" t="s">
        <v>131</v>
      </c>
      <c r="C11" s="66" t="s">
        <v>199</v>
      </c>
      <c r="D11" s="8">
        <f>'16_Multiplicateurs '!D7</f>
        <v>4.58216</v>
      </c>
      <c r="E11" s="8">
        <f>'16_Multiplicateurs '!E7</f>
        <v>4.69067</v>
      </c>
      <c r="F11" s="8">
        <f>'16_Multiplicateurs '!F7</f>
        <v>4.6913599999999995</v>
      </c>
      <c r="G11" s="8">
        <f>'16_Multiplicateurs '!G7</f>
        <v>4.891359999999999</v>
      </c>
      <c r="H11" s="8">
        <f>'16_Multiplicateurs '!H7</f>
        <v>4.792</v>
      </c>
      <c r="I11" s="8">
        <f>'16_Multiplicateurs '!I7</f>
        <v>4.792</v>
      </c>
      <c r="J11" s="8">
        <f>'16_Multiplicateurs '!J7</f>
        <v>4.792</v>
      </c>
      <c r="K11" s="8">
        <f>'16_Multiplicateurs '!K7</f>
        <v>4.792</v>
      </c>
      <c r="L11" s="8">
        <f>'16_Multiplicateurs '!L7</f>
        <v>4.791499999999999</v>
      </c>
      <c r="M11" s="8">
        <f>'16_Multiplicateurs '!M7</f>
        <v>4.791499999999999</v>
      </c>
      <c r="N11" s="8">
        <f>'16_Multiplicateurs '!N7</f>
        <v>4.791499999999999</v>
      </c>
      <c r="O11" s="8">
        <f>'16_Multiplicateurs '!O7</f>
        <v>4.791499999999999</v>
      </c>
      <c r="P11" s="8">
        <f>'16_Multiplicateurs '!P7</f>
        <v>4.791499999999999</v>
      </c>
    </row>
    <row r="12" spans="2:16" ht="32.25" customHeight="1" thickBot="1">
      <c r="B12" s="45" t="s">
        <v>132</v>
      </c>
      <c r="C12" s="66" t="s">
        <v>150</v>
      </c>
      <c r="D12" s="5">
        <f>D10*D11</f>
        <v>0.20824629093754438</v>
      </c>
      <c r="E12" s="5">
        <f aca="true" t="shared" si="3" ref="E12:P12">E10*E11</f>
        <v>0.2130941926014898</v>
      </c>
      <c r="F12" s="5">
        <f t="shared" si="3"/>
        <v>0.21312500746500085</v>
      </c>
      <c r="G12" s="5">
        <f t="shared" si="3"/>
        <v>0.22205031995932514</v>
      </c>
      <c r="H12" s="5">
        <f t="shared" si="3"/>
        <v>0.21761894393323822</v>
      </c>
      <c r="I12" s="5">
        <f t="shared" si="3"/>
        <v>0.21761894393323822</v>
      </c>
      <c r="J12" s="5">
        <f t="shared" si="3"/>
        <v>0.21761894393323822</v>
      </c>
      <c r="K12" s="5">
        <f t="shared" si="3"/>
        <v>0.21786708513584158</v>
      </c>
      <c r="L12" s="5">
        <f t="shared" si="3"/>
        <v>0.21784474548136548</v>
      </c>
      <c r="M12" s="5">
        <f t="shared" si="3"/>
        <v>0.21784474548136548</v>
      </c>
      <c r="N12" s="5">
        <f t="shared" si="3"/>
        <v>0.18658924742398725</v>
      </c>
      <c r="O12" s="5">
        <f t="shared" si="3"/>
        <v>0.18658924742398725</v>
      </c>
      <c r="P12" s="5">
        <f t="shared" si="3"/>
        <v>0.18659804122978033</v>
      </c>
    </row>
    <row r="13" spans="2:16" ht="32.25" customHeight="1" thickBot="1">
      <c r="B13" s="53" t="s">
        <v>133</v>
      </c>
      <c r="C13" s="67" t="s">
        <v>151</v>
      </c>
      <c r="D13" s="59">
        <f>D9+D12</f>
        <v>0.3062462909375444</v>
      </c>
      <c r="E13" s="59">
        <f aca="true" t="shared" si="4" ref="E13:P13">E9+E12</f>
        <v>0.3110941926014898</v>
      </c>
      <c r="F13" s="59">
        <f t="shared" si="4"/>
        <v>0.3111250074650008</v>
      </c>
      <c r="G13" s="59">
        <f t="shared" si="4"/>
        <v>0.32005031995932515</v>
      </c>
      <c r="H13" s="59">
        <f t="shared" si="4"/>
        <v>0.3156189439332382</v>
      </c>
      <c r="I13" s="59">
        <f t="shared" si="4"/>
        <v>0.3156189439332382</v>
      </c>
      <c r="J13" s="59">
        <f t="shared" si="4"/>
        <v>0.3156189439332382</v>
      </c>
      <c r="K13" s="59">
        <f t="shared" si="4"/>
        <v>0.3028670851358416</v>
      </c>
      <c r="L13" s="59">
        <f t="shared" si="4"/>
        <v>0.3028447454813655</v>
      </c>
      <c r="M13" s="59">
        <f t="shared" si="4"/>
        <v>0.3028447454813655</v>
      </c>
      <c r="N13" s="59">
        <f t="shared" si="4"/>
        <v>0.27158924742398727</v>
      </c>
      <c r="O13" s="59">
        <f t="shared" si="4"/>
        <v>0.27158924742398727</v>
      </c>
      <c r="P13" s="59">
        <f t="shared" si="4"/>
        <v>0.2715980412297803</v>
      </c>
    </row>
    <row r="14" spans="2:16" ht="27.75" customHeight="1" thickBot="1">
      <c r="B14" s="12" t="s">
        <v>161</v>
      </c>
      <c r="C14" s="58" t="s">
        <v>160</v>
      </c>
      <c r="D14" s="13">
        <f>'19_Données taux capital'!D4</f>
        <v>0.000825</v>
      </c>
      <c r="E14" s="13">
        <f>'19_Données taux capital'!E4</f>
        <v>0.000825</v>
      </c>
      <c r="F14" s="13">
        <f>'19_Données taux capital'!F4</f>
        <v>0.000825</v>
      </c>
      <c r="G14" s="13">
        <f>'19_Données taux capital'!G4</f>
        <v>0.000825</v>
      </c>
      <c r="H14" s="13">
        <f>'19_Données taux capital'!H4</f>
        <v>0.0008</v>
      </c>
      <c r="I14" s="13">
        <f>'19_Données taux capital'!I4</f>
        <v>0.0008</v>
      </c>
      <c r="J14" s="13">
        <f>'19_Données taux capital'!J4</f>
        <v>0.0008</v>
      </c>
      <c r="K14" s="13">
        <f>'19_Données taux capital'!K4</f>
        <v>0</v>
      </c>
      <c r="L14" s="13">
        <f>'19_Données taux capital'!L4</f>
        <v>0</v>
      </c>
      <c r="M14" s="13">
        <f>'19_Données taux capital'!M4</f>
        <v>0</v>
      </c>
      <c r="N14" s="13">
        <f>'19_Données taux capital'!N4</f>
        <v>0</v>
      </c>
      <c r="O14" s="13">
        <f>'19_Données taux capital'!O4</f>
        <v>0</v>
      </c>
      <c r="P14" s="13">
        <f>'19_Données taux capital'!P4</f>
        <v>0</v>
      </c>
    </row>
    <row r="15" spans="2:16" ht="34.5" customHeight="1" thickBot="1">
      <c r="B15" s="14" t="s">
        <v>68</v>
      </c>
      <c r="C15" s="58" t="s">
        <v>154</v>
      </c>
      <c r="D15" s="13">
        <f>D14*D8</f>
        <v>0.00165</v>
      </c>
      <c r="E15" s="13">
        <f aca="true" t="shared" si="5" ref="E15:P15">E14*E8</f>
        <v>0.00165</v>
      </c>
      <c r="F15" s="13">
        <f t="shared" si="5"/>
        <v>0.00165</v>
      </c>
      <c r="G15" s="13">
        <f t="shared" si="5"/>
        <v>0.00165</v>
      </c>
      <c r="H15" s="13">
        <f t="shared" si="5"/>
        <v>0.0016</v>
      </c>
      <c r="I15" s="13">
        <f t="shared" si="5"/>
        <v>0.0016</v>
      </c>
      <c r="J15" s="13">
        <f t="shared" si="5"/>
        <v>0.0016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</row>
    <row r="16" spans="2:16" ht="30.75" customHeight="1" thickBot="1">
      <c r="B16" s="12" t="s">
        <v>162</v>
      </c>
      <c r="C16" s="68" t="s">
        <v>163</v>
      </c>
      <c r="D16" s="13">
        <f>'19_Données taux capital'!D5</f>
        <v>0.0009355</v>
      </c>
      <c r="E16" s="13">
        <f>'19_Données taux capital'!E5</f>
        <v>0.0009355</v>
      </c>
      <c r="F16" s="13">
        <f>'19_Données taux capital'!F5</f>
        <v>0.0009355</v>
      </c>
      <c r="G16" s="13">
        <f>'19_Données taux capital'!G5</f>
        <v>0.0009355</v>
      </c>
      <c r="H16" s="13">
        <f>'19_Données taux capital'!H5</f>
        <v>0.0009355</v>
      </c>
      <c r="I16" s="13">
        <f>'19_Données taux capital'!I5</f>
        <v>0.0009355</v>
      </c>
      <c r="J16" s="13">
        <f>'19_Données taux capital'!J5</f>
        <v>0.0009355</v>
      </c>
      <c r="K16" s="13">
        <f>'19_Données taux capital'!K5</f>
        <v>0.0009355</v>
      </c>
      <c r="L16" s="13">
        <f>'19_Données taux capital'!L5</f>
        <v>0.0009355</v>
      </c>
      <c r="M16" s="13">
        <f>'19_Données taux capital'!M5</f>
        <v>0.0009355</v>
      </c>
      <c r="N16" s="13">
        <f>'19_Données taux capital'!N5</f>
        <v>0.0005</v>
      </c>
      <c r="O16" s="13">
        <f>'19_Données taux capital'!O5</f>
        <v>0.0005</v>
      </c>
      <c r="P16" s="13">
        <f>'19_Données taux capital'!P5</f>
        <v>0.0003</v>
      </c>
    </row>
    <row r="17" spans="2:16" ht="30" customHeight="1" thickBot="1">
      <c r="B17" s="12" t="s">
        <v>72</v>
      </c>
      <c r="C17" s="77" t="s">
        <v>164</v>
      </c>
      <c r="D17" s="13">
        <f>D16*D11</f>
        <v>0.0042866106800000005</v>
      </c>
      <c r="E17" s="13">
        <f aca="true" t="shared" si="6" ref="E17:P17">E16*E11</f>
        <v>0.004388121785</v>
      </c>
      <c r="F17" s="13">
        <f t="shared" si="6"/>
        <v>0.00438876728</v>
      </c>
      <c r="G17" s="13">
        <f t="shared" si="6"/>
        <v>0.004575867279999999</v>
      </c>
      <c r="H17" s="13">
        <f t="shared" si="6"/>
        <v>0.004482916</v>
      </c>
      <c r="I17" s="13">
        <f t="shared" si="6"/>
        <v>0.004482916</v>
      </c>
      <c r="J17" s="13">
        <f t="shared" si="6"/>
        <v>0.004482916</v>
      </c>
      <c r="K17" s="13">
        <f t="shared" si="6"/>
        <v>0.004482916</v>
      </c>
      <c r="L17" s="13">
        <f t="shared" si="6"/>
        <v>0.004482448249999999</v>
      </c>
      <c r="M17" s="13">
        <f t="shared" si="6"/>
        <v>0.004482448249999999</v>
      </c>
      <c r="N17" s="13">
        <f t="shared" si="6"/>
        <v>0.0023957499999999994</v>
      </c>
      <c r="O17" s="13">
        <f t="shared" si="6"/>
        <v>0.0023957499999999994</v>
      </c>
      <c r="P17" s="13">
        <f t="shared" si="6"/>
        <v>0.0014374499999999996</v>
      </c>
    </row>
    <row r="18" spans="2:16" ht="29.25" customHeight="1" thickBot="1">
      <c r="B18" s="12" t="s">
        <v>73</v>
      </c>
      <c r="C18" s="58" t="s">
        <v>81</v>
      </c>
      <c r="D18" s="13">
        <f>D16*D8*D11</f>
        <v>0.008573221360000001</v>
      </c>
      <c r="E18" s="13">
        <f aca="true" t="shared" si="7" ref="E18:P18">E16*E8*E11</f>
        <v>0.00877624357</v>
      </c>
      <c r="F18" s="13">
        <f t="shared" si="7"/>
        <v>0.00877753456</v>
      </c>
      <c r="G18" s="13">
        <f t="shared" si="7"/>
        <v>0.009151734559999998</v>
      </c>
      <c r="H18" s="13">
        <f t="shared" si="7"/>
        <v>0.008965832</v>
      </c>
      <c r="I18" s="13">
        <f t="shared" si="7"/>
        <v>0.008965832</v>
      </c>
      <c r="J18" s="13">
        <f t="shared" si="7"/>
        <v>0.008965832</v>
      </c>
      <c r="K18" s="13">
        <f t="shared" si="7"/>
        <v>0.008965832</v>
      </c>
      <c r="L18" s="13">
        <f t="shared" si="7"/>
        <v>0.008964896499999998</v>
      </c>
      <c r="M18" s="13">
        <f t="shared" si="7"/>
        <v>0.008964896499999998</v>
      </c>
      <c r="N18" s="13">
        <f t="shared" si="7"/>
        <v>0.004791499999999999</v>
      </c>
      <c r="O18" s="13">
        <f t="shared" si="7"/>
        <v>0.004791499999999999</v>
      </c>
      <c r="P18" s="13">
        <f t="shared" si="7"/>
        <v>0.0028748999999999992</v>
      </c>
    </row>
    <row r="19" spans="2:16" ht="30.75" customHeight="1" thickBot="1">
      <c r="B19" s="53" t="s">
        <v>165</v>
      </c>
      <c r="C19" s="60" t="s">
        <v>82</v>
      </c>
      <c r="D19" s="59">
        <f>D14+D17</f>
        <v>0.005111610680000001</v>
      </c>
      <c r="E19" s="59">
        <f aca="true" t="shared" si="8" ref="E19:P19">E14+E17</f>
        <v>0.005213121785</v>
      </c>
      <c r="F19" s="59">
        <f t="shared" si="8"/>
        <v>0.00521376728</v>
      </c>
      <c r="G19" s="59">
        <f t="shared" si="8"/>
        <v>0.005400867279999999</v>
      </c>
      <c r="H19" s="59">
        <f t="shared" si="8"/>
        <v>0.005282916</v>
      </c>
      <c r="I19" s="59">
        <f t="shared" si="8"/>
        <v>0.005282916</v>
      </c>
      <c r="J19" s="59">
        <f t="shared" si="8"/>
        <v>0.005282916</v>
      </c>
      <c r="K19" s="59">
        <f t="shared" si="8"/>
        <v>0.004482916</v>
      </c>
      <c r="L19" s="59">
        <f t="shared" si="8"/>
        <v>0.004482448249999999</v>
      </c>
      <c r="M19" s="59">
        <f t="shared" si="8"/>
        <v>0.004482448249999999</v>
      </c>
      <c r="N19" s="59">
        <f t="shared" si="8"/>
        <v>0.0023957499999999994</v>
      </c>
      <c r="O19" s="59">
        <f t="shared" si="8"/>
        <v>0.0023957499999999994</v>
      </c>
      <c r="P19" s="59">
        <f t="shared" si="8"/>
        <v>0.0014374499999999996</v>
      </c>
    </row>
    <row r="20" spans="2:16" ht="29.25" customHeight="1" thickBot="1">
      <c r="B20" s="53" t="s">
        <v>74</v>
      </c>
      <c r="C20" s="60" t="s">
        <v>156</v>
      </c>
      <c r="D20" s="59">
        <f>D15+D18</f>
        <v>0.010223221360000001</v>
      </c>
      <c r="E20" s="59">
        <f aca="true" t="shared" si="9" ref="E20:P20">E15+E18</f>
        <v>0.01042624357</v>
      </c>
      <c r="F20" s="59">
        <f t="shared" si="9"/>
        <v>0.01042753456</v>
      </c>
      <c r="G20" s="59">
        <f t="shared" si="9"/>
        <v>0.010801734559999998</v>
      </c>
      <c r="H20" s="59">
        <f t="shared" si="9"/>
        <v>0.010565832</v>
      </c>
      <c r="I20" s="59">
        <f t="shared" si="9"/>
        <v>0.010565832</v>
      </c>
      <c r="J20" s="59">
        <f t="shared" si="9"/>
        <v>0.010565832</v>
      </c>
      <c r="K20" s="59">
        <f t="shared" si="9"/>
        <v>0.008965832</v>
      </c>
      <c r="L20" s="59">
        <f t="shared" si="9"/>
        <v>0.008964896499999998</v>
      </c>
      <c r="M20" s="59">
        <f t="shared" si="9"/>
        <v>0.008964896499999998</v>
      </c>
      <c r="N20" s="59">
        <f t="shared" si="9"/>
        <v>0.004791499999999999</v>
      </c>
      <c r="O20" s="59">
        <f t="shared" si="9"/>
        <v>0.004791499999999999</v>
      </c>
      <c r="P20" s="59">
        <f t="shared" si="9"/>
        <v>0.0028748999999999992</v>
      </c>
    </row>
    <row r="21" spans="2:16" ht="31.5" customHeight="1" thickBot="1">
      <c r="B21" s="61" t="s">
        <v>83</v>
      </c>
      <c r="C21" s="62" t="s">
        <v>157</v>
      </c>
      <c r="D21" s="59">
        <f>D13+D20</f>
        <v>0.3164695122975444</v>
      </c>
      <c r="E21" s="59">
        <f aca="true" t="shared" si="10" ref="E21:P21">E13+E20</f>
        <v>0.3215204361714898</v>
      </c>
      <c r="F21" s="59">
        <f t="shared" si="10"/>
        <v>0.32155254202500083</v>
      </c>
      <c r="G21" s="59">
        <f t="shared" si="10"/>
        <v>0.33085205451932514</v>
      </c>
      <c r="H21" s="59">
        <f t="shared" si="10"/>
        <v>0.3261847759332382</v>
      </c>
      <c r="I21" s="59">
        <f t="shared" si="10"/>
        <v>0.3261847759332382</v>
      </c>
      <c r="J21" s="59">
        <f t="shared" si="10"/>
        <v>0.3261847759332382</v>
      </c>
      <c r="K21" s="59">
        <f t="shared" si="10"/>
        <v>0.3118329171358416</v>
      </c>
      <c r="L21" s="59">
        <f t="shared" si="10"/>
        <v>0.31180964198136546</v>
      </c>
      <c r="M21" s="59">
        <f t="shared" si="10"/>
        <v>0.31180964198136546</v>
      </c>
      <c r="N21" s="59">
        <f t="shared" si="10"/>
        <v>0.27638074742398727</v>
      </c>
      <c r="O21" s="59">
        <f t="shared" si="10"/>
        <v>0.27638074742398727</v>
      </c>
      <c r="P21" s="59">
        <f t="shared" si="10"/>
        <v>0.27447294122978033</v>
      </c>
    </row>
    <row r="22" spans="2:16" ht="31.5" customHeight="1" thickBot="1">
      <c r="B22" s="2" t="s">
        <v>84</v>
      </c>
      <c r="C22" s="46" t="s">
        <v>103</v>
      </c>
      <c r="D22" s="5">
        <f>D21/(1+D13)</f>
        <v>0.2422739987804304</v>
      </c>
      <c r="E22" s="5">
        <f aca="true" t="shared" si="11" ref="E22:P22">E21/(1+E13)</f>
        <v>0.24523061576035574</v>
      </c>
      <c r="F22" s="5">
        <f t="shared" si="11"/>
        <v>0.24524933945597432</v>
      </c>
      <c r="G22" s="5">
        <f t="shared" si="11"/>
        <v>0.25063594130981287</v>
      </c>
      <c r="H22" s="5">
        <f t="shared" si="11"/>
        <v>0.24793256241663741</v>
      </c>
      <c r="I22" s="5">
        <f t="shared" si="11"/>
        <v>0.24793256241663741</v>
      </c>
      <c r="J22" s="5">
        <f t="shared" si="11"/>
        <v>0.24793256241663741</v>
      </c>
      <c r="K22" s="5">
        <f t="shared" si="11"/>
        <v>0.2393436143206648</v>
      </c>
      <c r="L22" s="5">
        <f t="shared" si="11"/>
        <v>0.23932985343250576</v>
      </c>
      <c r="M22" s="5">
        <f t="shared" si="11"/>
        <v>0.23932985343250576</v>
      </c>
      <c r="N22" s="5">
        <f t="shared" si="11"/>
        <v>0.21735064839836082</v>
      </c>
      <c r="O22" s="5">
        <f t="shared" si="11"/>
        <v>0.21735064839836082</v>
      </c>
      <c r="P22" s="5">
        <f t="shared" si="11"/>
        <v>0.21584882355145318</v>
      </c>
    </row>
    <row r="23" spans="2:16" ht="38.25" customHeight="1" thickBot="1">
      <c r="B23" s="2" t="s">
        <v>106</v>
      </c>
      <c r="C23" s="46" t="s">
        <v>104</v>
      </c>
      <c r="D23" s="5">
        <f>D9*(1-D22)+D15</f>
        <v>0.07590714811951782</v>
      </c>
      <c r="E23" s="5">
        <f aca="true" t="shared" si="12" ref="E23:P23">E9*(1-E22)+E15</f>
        <v>0.07561739965548514</v>
      </c>
      <c r="F23" s="5">
        <f t="shared" si="12"/>
        <v>0.07561556473331452</v>
      </c>
      <c r="G23" s="5">
        <f t="shared" si="12"/>
        <v>0.07508767775163834</v>
      </c>
      <c r="H23" s="5">
        <f t="shared" si="12"/>
        <v>0.07530260888316954</v>
      </c>
      <c r="I23" s="5">
        <f t="shared" si="12"/>
        <v>0.07530260888316954</v>
      </c>
      <c r="J23" s="5">
        <f t="shared" si="12"/>
        <v>0.07530260888316954</v>
      </c>
      <c r="K23" s="5">
        <f t="shared" si="12"/>
        <v>0.06465579278274348</v>
      </c>
      <c r="L23" s="5">
        <f t="shared" si="12"/>
        <v>0.06465696245823702</v>
      </c>
      <c r="M23" s="5">
        <f t="shared" si="12"/>
        <v>0.06465696245823702</v>
      </c>
      <c r="N23" s="5">
        <f t="shared" si="12"/>
        <v>0.06652519488613934</v>
      </c>
      <c r="O23" s="5">
        <f t="shared" si="12"/>
        <v>0.06652519488613934</v>
      </c>
      <c r="P23" s="5">
        <f t="shared" si="12"/>
        <v>0.06665284999812648</v>
      </c>
    </row>
    <row r="24" spans="2:16" ht="20.25" customHeight="1" thickBot="1">
      <c r="B24" s="2" t="s">
        <v>107</v>
      </c>
      <c r="C24" s="46" t="s">
        <v>166</v>
      </c>
      <c r="D24" s="5">
        <f>D23-D15</f>
        <v>0.07425714811951782</v>
      </c>
      <c r="E24" s="5">
        <f aca="true" t="shared" si="13" ref="E24:P24">E23-E15</f>
        <v>0.07396739965548514</v>
      </c>
      <c r="F24" s="5">
        <f t="shared" si="13"/>
        <v>0.07396556473331452</v>
      </c>
      <c r="G24" s="5">
        <f t="shared" si="13"/>
        <v>0.07343767775163834</v>
      </c>
      <c r="H24" s="5">
        <f t="shared" si="13"/>
        <v>0.07370260888316954</v>
      </c>
      <c r="I24" s="5">
        <f t="shared" si="13"/>
        <v>0.07370260888316954</v>
      </c>
      <c r="J24" s="5">
        <f t="shared" si="13"/>
        <v>0.07370260888316954</v>
      </c>
      <c r="K24" s="5">
        <f t="shared" si="13"/>
        <v>0.06465579278274348</v>
      </c>
      <c r="L24" s="5">
        <f t="shared" si="13"/>
        <v>0.06465696245823702</v>
      </c>
      <c r="M24" s="5">
        <f t="shared" si="13"/>
        <v>0.06465696245823702</v>
      </c>
      <c r="N24" s="5">
        <f t="shared" si="13"/>
        <v>0.06652519488613934</v>
      </c>
      <c r="O24" s="5">
        <f t="shared" si="13"/>
        <v>0.06652519488613934</v>
      </c>
      <c r="P24" s="5">
        <f t="shared" si="13"/>
        <v>0.06665284999812648</v>
      </c>
    </row>
    <row r="25" spans="2:16" ht="37.5" customHeight="1" thickBot="1">
      <c r="B25" s="2" t="s">
        <v>108</v>
      </c>
      <c r="C25" s="46" t="s">
        <v>105</v>
      </c>
      <c r="D25" s="5">
        <f>(D12*(1-D22))+D18</f>
        <v>0.16636685066091259</v>
      </c>
      <c r="E25" s="5">
        <f aca="true" t="shared" si="14" ref="E25:P25">(E12*(1-E22))+E18</f>
        <v>0.16961321610487062</v>
      </c>
      <c r="F25" s="5">
        <f t="shared" si="14"/>
        <v>0.1696337747226598</v>
      </c>
      <c r="G25" s="5">
        <f t="shared" si="14"/>
        <v>0.17554826355817452</v>
      </c>
      <c r="H25" s="5">
        <f t="shared" si="14"/>
        <v>0.1726299535334679</v>
      </c>
      <c r="I25" s="5">
        <f t="shared" si="14"/>
        <v>0.1726299535334679</v>
      </c>
      <c r="J25" s="5">
        <f t="shared" si="14"/>
        <v>0.1726299535334679</v>
      </c>
      <c r="K25" s="5">
        <f t="shared" si="14"/>
        <v>0.17468782153792126</v>
      </c>
      <c r="L25" s="5">
        <f t="shared" si="14"/>
        <v>0.17467289097426875</v>
      </c>
      <c r="M25" s="5">
        <f t="shared" si="14"/>
        <v>0.17467289097426875</v>
      </c>
      <c r="N25" s="5">
        <f t="shared" si="14"/>
        <v>0.15082545351222146</v>
      </c>
      <c r="O25" s="5">
        <f t="shared" si="14"/>
        <v>0.15082545351222146</v>
      </c>
      <c r="P25" s="5">
        <f t="shared" si="14"/>
        <v>0.14919597355332667</v>
      </c>
    </row>
    <row r="26" spans="2:16" ht="18" thickBot="1">
      <c r="B26" s="2" t="s">
        <v>109</v>
      </c>
      <c r="C26" s="46" t="s">
        <v>101</v>
      </c>
      <c r="D26" s="5">
        <f>D25-D18</f>
        <v>0.1577936293009126</v>
      </c>
      <c r="E26" s="5">
        <f aca="true" t="shared" si="15" ref="E26:P26">E25-E18</f>
        <v>0.16083697253487061</v>
      </c>
      <c r="F26" s="5">
        <f t="shared" si="15"/>
        <v>0.1608562401626598</v>
      </c>
      <c r="G26" s="5">
        <f t="shared" si="15"/>
        <v>0.16639652899817453</v>
      </c>
      <c r="H26" s="5">
        <f t="shared" si="15"/>
        <v>0.1636641215334679</v>
      </c>
      <c r="I26" s="5">
        <f t="shared" si="15"/>
        <v>0.1636641215334679</v>
      </c>
      <c r="J26" s="5">
        <f t="shared" si="15"/>
        <v>0.1636641215334679</v>
      </c>
      <c r="K26" s="5">
        <f t="shared" si="15"/>
        <v>0.16572198953792125</v>
      </c>
      <c r="L26" s="5">
        <f t="shared" si="15"/>
        <v>0.16570799447426876</v>
      </c>
      <c r="M26" s="5">
        <f t="shared" si="15"/>
        <v>0.16570799447426876</v>
      </c>
      <c r="N26" s="5">
        <f t="shared" si="15"/>
        <v>0.14603395351222145</v>
      </c>
      <c r="O26" s="5">
        <f t="shared" si="15"/>
        <v>0.14603395351222145</v>
      </c>
      <c r="P26" s="5">
        <f t="shared" si="15"/>
        <v>0.14632107355332669</v>
      </c>
    </row>
    <row r="27" spans="2:16" ht="21" customHeight="1" thickBot="1">
      <c r="B27" s="53" t="s">
        <v>110</v>
      </c>
      <c r="C27" s="62" t="s">
        <v>99</v>
      </c>
      <c r="D27" s="71">
        <f>D13*(1-D20)/(1+D13)</f>
        <v>0.2320507774204304</v>
      </c>
      <c r="E27" s="71">
        <f aca="true" t="shared" si="16" ref="E27:P27">E13*(1-E20)/(1+E13)</f>
        <v>0.23480437219035571</v>
      </c>
      <c r="F27" s="71">
        <f t="shared" si="16"/>
        <v>0.2348218048959743</v>
      </c>
      <c r="G27" s="71">
        <f t="shared" si="16"/>
        <v>0.2398342067498129</v>
      </c>
      <c r="H27" s="71">
        <f t="shared" si="16"/>
        <v>0.23736673041663744</v>
      </c>
      <c r="I27" s="71">
        <f t="shared" si="16"/>
        <v>0.23736673041663744</v>
      </c>
      <c r="J27" s="71">
        <f t="shared" si="16"/>
        <v>0.23736673041663744</v>
      </c>
      <c r="K27" s="71">
        <f t="shared" si="16"/>
        <v>0.2303777823206648</v>
      </c>
      <c r="L27" s="71">
        <f t="shared" si="16"/>
        <v>0.23036495693250575</v>
      </c>
      <c r="M27" s="71">
        <f t="shared" si="16"/>
        <v>0.23036495693250575</v>
      </c>
      <c r="N27" s="71">
        <f t="shared" si="16"/>
        <v>0.21255914839836082</v>
      </c>
      <c r="O27" s="71">
        <f t="shared" si="16"/>
        <v>0.21255914839836082</v>
      </c>
      <c r="P27" s="71">
        <f t="shared" si="16"/>
        <v>0.21297392355145314</v>
      </c>
    </row>
    <row r="28" spans="2:16" ht="20.25" customHeight="1" thickBot="1">
      <c r="B28" s="53" t="s">
        <v>111</v>
      </c>
      <c r="C28" s="62" t="s">
        <v>143</v>
      </c>
      <c r="D28" s="71">
        <f>D20</f>
        <v>0.010223221360000001</v>
      </c>
      <c r="E28" s="71">
        <f aca="true" t="shared" si="17" ref="E28:P28">E20</f>
        <v>0.01042624357</v>
      </c>
      <c r="F28" s="71">
        <f t="shared" si="17"/>
        <v>0.01042753456</v>
      </c>
      <c r="G28" s="71">
        <f t="shared" si="17"/>
        <v>0.010801734559999998</v>
      </c>
      <c r="H28" s="71">
        <f t="shared" si="17"/>
        <v>0.010565832</v>
      </c>
      <c r="I28" s="71">
        <f t="shared" si="17"/>
        <v>0.010565832</v>
      </c>
      <c r="J28" s="71">
        <f t="shared" si="17"/>
        <v>0.010565832</v>
      </c>
      <c r="K28" s="71">
        <f t="shared" si="17"/>
        <v>0.008965832</v>
      </c>
      <c r="L28" s="71">
        <f t="shared" si="17"/>
        <v>0.008964896499999998</v>
      </c>
      <c r="M28" s="71">
        <f t="shared" si="17"/>
        <v>0.008964896499999998</v>
      </c>
      <c r="N28" s="71">
        <f t="shared" si="17"/>
        <v>0.004791499999999999</v>
      </c>
      <c r="O28" s="71">
        <f t="shared" si="17"/>
        <v>0.004791499999999999</v>
      </c>
      <c r="P28" s="71">
        <f t="shared" si="17"/>
        <v>0.0028748999999999992</v>
      </c>
    </row>
    <row r="29" spans="2:16" ht="6.75" customHeight="1" thickBot="1">
      <c r="B29" s="53"/>
      <c r="C29" s="62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 ht="17.25" customHeight="1" thickBot="1">
      <c r="B30" s="161" t="s">
        <v>397</v>
      </c>
      <c r="C30" s="162" t="s">
        <v>398</v>
      </c>
      <c r="D30" s="79">
        <f>D27+D28</f>
        <v>0.2422739987804304</v>
      </c>
      <c r="E30" s="79">
        <f aca="true" t="shared" si="18" ref="E30:P30">E27+E28</f>
        <v>0.2452306157603557</v>
      </c>
      <c r="F30" s="79">
        <f t="shared" si="18"/>
        <v>0.2452493394559743</v>
      </c>
      <c r="G30" s="79">
        <f t="shared" si="18"/>
        <v>0.2506359413098129</v>
      </c>
      <c r="H30" s="79">
        <f t="shared" si="18"/>
        <v>0.24793256241663744</v>
      </c>
      <c r="I30" s="79">
        <f t="shared" si="18"/>
        <v>0.24793256241663744</v>
      </c>
      <c r="J30" s="79">
        <f t="shared" si="18"/>
        <v>0.24793256241663744</v>
      </c>
      <c r="K30" s="79">
        <f t="shared" si="18"/>
        <v>0.2393436143206648</v>
      </c>
      <c r="L30" s="79">
        <f t="shared" si="18"/>
        <v>0.23932985343250573</v>
      </c>
      <c r="M30" s="79">
        <f t="shared" si="18"/>
        <v>0.23932985343250573</v>
      </c>
      <c r="N30" s="79">
        <f t="shared" si="18"/>
        <v>0.21735064839836082</v>
      </c>
      <c r="O30" s="79">
        <f t="shared" si="18"/>
        <v>0.21735064839836082</v>
      </c>
      <c r="P30" s="79">
        <f t="shared" si="18"/>
        <v>0.21584882355145313</v>
      </c>
    </row>
    <row r="31" spans="2:16" ht="18" thickBot="1">
      <c r="B31" s="161" t="s">
        <v>399</v>
      </c>
      <c r="C31" s="163" t="s">
        <v>400</v>
      </c>
      <c r="D31" s="79">
        <f>'4_Dernière synthèse'!E25</f>
        <v>0.2422739987804304</v>
      </c>
      <c r="E31" s="79">
        <f>'4_Dernière synthèse'!F25</f>
        <v>0.2452306157603557</v>
      </c>
      <c r="F31" s="79">
        <f>'4_Dernière synthèse'!G25</f>
        <v>0.2452493394559743</v>
      </c>
      <c r="G31" s="79">
        <f>'4_Dernière synthèse'!H25</f>
        <v>0.2506359413098129</v>
      </c>
      <c r="H31" s="79">
        <f>'4_Dernière synthèse'!I25</f>
        <v>0.24793256241663744</v>
      </c>
      <c r="I31" s="79">
        <f>'4_Dernière synthèse'!J25</f>
        <v>0.24793256241663744</v>
      </c>
      <c r="J31" s="79">
        <f>'4_Dernière synthèse'!K25</f>
        <v>0.24793256241663744</v>
      </c>
      <c r="K31" s="79">
        <f>'4_Dernière synthèse'!L25</f>
        <v>0.2393436143206648</v>
      </c>
      <c r="L31" s="79">
        <f>'4_Dernière synthèse'!M25</f>
        <v>0.23932985343250573</v>
      </c>
      <c r="M31" s="79">
        <f>'4_Dernière synthèse'!N25</f>
        <v>0.23932985343250573</v>
      </c>
      <c r="N31" s="79">
        <f>'4_Dernière synthèse'!O25</f>
        <v>0.21735064839836082</v>
      </c>
      <c r="O31" s="79">
        <f>'4_Dernière synthèse'!P25</f>
        <v>0.21735064839836082</v>
      </c>
      <c r="P31" s="79">
        <f>'4_Dernière synthèse'!Q25</f>
        <v>0.21584882355145313</v>
      </c>
    </row>
    <row r="32" spans="2:16" ht="18" thickBot="1">
      <c r="B32" s="164" t="s">
        <v>401</v>
      </c>
      <c r="C32" s="163" t="s">
        <v>403</v>
      </c>
      <c r="D32" s="79">
        <f>'4_Dernière synthèse'!E26</f>
        <v>0.242273</v>
      </c>
      <c r="E32" s="79">
        <f>'4_Dernière synthèse'!F26</f>
        <v>0.245239</v>
      </c>
      <c r="F32" s="79">
        <f>'4_Dernière synthèse'!G26</f>
        <v>0.245264</v>
      </c>
      <c r="G32" s="79">
        <f>'4_Dernière synthèse'!H26</f>
        <v>0.250647</v>
      </c>
      <c r="H32" s="79">
        <f>'4_Dernière synthèse'!I26</f>
        <v>0.247943</v>
      </c>
      <c r="I32" s="79">
        <f>'4_Dernière synthèse'!J26</f>
        <v>0.247943</v>
      </c>
      <c r="J32" s="79">
        <f>'4_Dernière synthèse'!K26</f>
        <v>0.247925</v>
      </c>
      <c r="K32" s="79">
        <f>'4_Dernière synthèse'!L26</f>
        <v>0.239356</v>
      </c>
      <c r="L32" s="79">
        <f>'4_Dernière synthèse'!M26</f>
        <v>0.239338</v>
      </c>
      <c r="M32" s="79">
        <f>'4_Dernière synthèse'!N26</f>
        <v>0.239338</v>
      </c>
      <c r="N32" s="79">
        <f>'4_Dernière synthèse'!O26</f>
        <v>0.217337</v>
      </c>
      <c r="O32" s="79">
        <f>'4_Dernière synthèse'!P26</f>
        <v>0.217337</v>
      </c>
      <c r="P32" s="79">
        <f>'4_Dernière synthèse'!Q26</f>
        <v>0.215834</v>
      </c>
    </row>
    <row r="33" spans="2:16" ht="18" thickBot="1">
      <c r="B33" s="161" t="s">
        <v>405</v>
      </c>
      <c r="C33" s="167" t="s">
        <v>406</v>
      </c>
      <c r="D33" s="79">
        <f>D30-D31</f>
        <v>0</v>
      </c>
      <c r="E33" s="79">
        <f aca="true" t="shared" si="19" ref="E33:P33">E30-E31</f>
        <v>0</v>
      </c>
      <c r="F33" s="79">
        <f t="shared" si="19"/>
        <v>0</v>
      </c>
      <c r="G33" s="79">
        <f t="shared" si="19"/>
        <v>0</v>
      </c>
      <c r="H33" s="79">
        <f t="shared" si="19"/>
        <v>0</v>
      </c>
      <c r="I33" s="79">
        <f t="shared" si="19"/>
        <v>0</v>
      </c>
      <c r="J33" s="79">
        <f t="shared" si="19"/>
        <v>0</v>
      </c>
      <c r="K33" s="79">
        <f t="shared" si="19"/>
        <v>0</v>
      </c>
      <c r="L33" s="79">
        <f t="shared" si="19"/>
        <v>0</v>
      </c>
      <c r="M33" s="79">
        <f t="shared" si="19"/>
        <v>0</v>
      </c>
      <c r="N33" s="79">
        <f t="shared" si="19"/>
        <v>0</v>
      </c>
      <c r="O33" s="79">
        <f t="shared" si="19"/>
        <v>0</v>
      </c>
      <c r="P33" s="79">
        <f t="shared" si="19"/>
        <v>0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A1:P37"/>
  <sheetViews>
    <sheetView workbookViewId="0" topLeftCell="H1">
      <selection activeCell="Q9" sqref="Q9"/>
    </sheetView>
  </sheetViews>
  <sheetFormatPr defaultColWidth="12" defaultRowHeight="11.25"/>
  <cols>
    <col min="2" max="2" width="59.83203125" style="0" customWidth="1"/>
    <col min="3" max="3" width="40.83203125" style="0" customWidth="1"/>
    <col min="4" max="4" width="16.33203125" style="0" customWidth="1"/>
    <col min="5" max="5" width="15.83203125" style="0" customWidth="1"/>
    <col min="6" max="6" width="15.33203125" style="0" customWidth="1"/>
    <col min="7" max="7" width="16.66015625" style="0" customWidth="1"/>
    <col min="8" max="9" width="14" style="0" customWidth="1"/>
    <col min="10" max="10" width="13.66015625" style="0" customWidth="1"/>
    <col min="11" max="11" width="13.83203125" style="0" customWidth="1"/>
    <col min="12" max="12" width="15" style="0" customWidth="1"/>
    <col min="13" max="13" width="14.66015625" style="0" customWidth="1"/>
    <col min="14" max="14" width="13" style="0" customWidth="1"/>
    <col min="15" max="15" width="15.33203125" style="0" customWidth="1"/>
  </cols>
  <sheetData>
    <row r="1" ht="11.25">
      <c r="A1" s="122" t="s">
        <v>318</v>
      </c>
    </row>
    <row r="3" ht="15.75" customHeight="1" thickBot="1"/>
    <row r="4" spans="2:16" ht="42.75" customHeight="1" thickBot="1">
      <c r="B4" s="6" t="s">
        <v>539</v>
      </c>
      <c r="C4" s="98" t="s">
        <v>204</v>
      </c>
      <c r="D4" s="92">
        <v>1991</v>
      </c>
      <c r="E4" s="92">
        <f>D4+1</f>
        <v>1992</v>
      </c>
      <c r="F4" s="92">
        <f aca="true" t="shared" si="0" ref="F4:M4">E4+1</f>
        <v>1993</v>
      </c>
      <c r="G4" s="92">
        <f t="shared" si="0"/>
        <v>1994</v>
      </c>
      <c r="H4" s="92">
        <f>G4+1</f>
        <v>1995</v>
      </c>
      <c r="I4" s="92">
        <f t="shared" si="0"/>
        <v>1996</v>
      </c>
      <c r="J4" s="92">
        <f t="shared" si="0"/>
        <v>1997</v>
      </c>
      <c r="K4" s="92">
        <f t="shared" si="0"/>
        <v>1998</v>
      </c>
      <c r="L4" s="92">
        <f t="shared" si="0"/>
        <v>1999</v>
      </c>
      <c r="M4" s="92">
        <f t="shared" si="0"/>
        <v>2000</v>
      </c>
      <c r="N4" s="92">
        <f>M4+1</f>
        <v>2001</v>
      </c>
      <c r="O4" s="92">
        <f>N4+1</f>
        <v>2002</v>
      </c>
      <c r="P4" s="92">
        <f>O4+1</f>
        <v>2003</v>
      </c>
    </row>
    <row r="5" spans="2:16" ht="16.5" thickBot="1">
      <c r="B5" s="48" t="s">
        <v>210</v>
      </c>
      <c r="C5" s="63" t="s">
        <v>90</v>
      </c>
      <c r="D5" s="54">
        <v>1000000</v>
      </c>
      <c r="E5" s="54">
        <v>1000000</v>
      </c>
      <c r="F5" s="54">
        <v>1000000</v>
      </c>
      <c r="G5" s="54">
        <v>1000000</v>
      </c>
      <c r="H5" s="54">
        <v>1000000</v>
      </c>
      <c r="I5" s="54">
        <v>1000000</v>
      </c>
      <c r="J5" s="54">
        <v>1000000</v>
      </c>
      <c r="K5" s="54">
        <v>1000000</v>
      </c>
      <c r="L5" s="54">
        <v>1000000</v>
      </c>
      <c r="M5" s="54">
        <v>1000000</v>
      </c>
      <c r="N5" s="54">
        <v>1000000</v>
      </c>
      <c r="O5" s="54">
        <v>1000000</v>
      </c>
      <c r="P5" s="54">
        <v>1000000</v>
      </c>
    </row>
    <row r="6" spans="2:16" ht="16.5" thickBot="1">
      <c r="B6" s="48" t="s">
        <v>211</v>
      </c>
      <c r="C6" s="63" t="s">
        <v>91</v>
      </c>
      <c r="D6" s="54">
        <v>2000000</v>
      </c>
      <c r="E6" s="54">
        <v>2000000</v>
      </c>
      <c r="F6" s="54">
        <v>2000000</v>
      </c>
      <c r="G6" s="54">
        <v>2000000</v>
      </c>
      <c r="H6" s="54">
        <v>2000000</v>
      </c>
      <c r="I6" s="54">
        <v>2000000</v>
      </c>
      <c r="J6" s="54">
        <v>2000000</v>
      </c>
      <c r="K6" s="54">
        <v>2000000</v>
      </c>
      <c r="L6" s="54">
        <v>2000000</v>
      </c>
      <c r="M6" s="54">
        <v>2000000</v>
      </c>
      <c r="N6" s="54">
        <v>2000000</v>
      </c>
      <c r="O6" s="54">
        <v>2000000</v>
      </c>
      <c r="P6" s="54">
        <v>2000000</v>
      </c>
    </row>
    <row r="7" spans="2:16" ht="16.5" thickBot="1">
      <c r="B7" s="64" t="s">
        <v>114</v>
      </c>
      <c r="C7" s="65" t="s">
        <v>115</v>
      </c>
      <c r="D7" s="55">
        <f aca="true" t="shared" si="1" ref="D7:P7">D5/D6</f>
        <v>0.5</v>
      </c>
      <c r="E7" s="55">
        <f t="shared" si="1"/>
        <v>0.5</v>
      </c>
      <c r="F7" s="55">
        <f t="shared" si="1"/>
        <v>0.5</v>
      </c>
      <c r="G7" s="55">
        <f t="shared" si="1"/>
        <v>0.5</v>
      </c>
      <c r="H7" s="55">
        <f t="shared" si="1"/>
        <v>0.5</v>
      </c>
      <c r="I7" s="55">
        <f t="shared" si="1"/>
        <v>0.5</v>
      </c>
      <c r="J7" s="55">
        <f t="shared" si="1"/>
        <v>0.5</v>
      </c>
      <c r="K7" s="55">
        <f t="shared" si="1"/>
        <v>0.5</v>
      </c>
      <c r="L7" s="55">
        <f t="shared" si="1"/>
        <v>0.5</v>
      </c>
      <c r="M7" s="55">
        <f t="shared" si="1"/>
        <v>0.5</v>
      </c>
      <c r="N7" s="55">
        <f t="shared" si="1"/>
        <v>0.5</v>
      </c>
      <c r="O7" s="55">
        <f t="shared" si="1"/>
        <v>0.5</v>
      </c>
      <c r="P7" s="55">
        <f t="shared" si="1"/>
        <v>0.5</v>
      </c>
    </row>
    <row r="8" spans="2:16" ht="16.5" thickBot="1">
      <c r="B8" s="64" t="s">
        <v>116</v>
      </c>
      <c r="C8" s="65" t="s">
        <v>117</v>
      </c>
      <c r="D8" s="56">
        <f aca="true" t="shared" si="2" ref="D8:P8">1/D7</f>
        <v>2</v>
      </c>
      <c r="E8" s="56">
        <f t="shared" si="2"/>
        <v>2</v>
      </c>
      <c r="F8" s="56">
        <f t="shared" si="2"/>
        <v>2</v>
      </c>
      <c r="G8" s="56">
        <f t="shared" si="2"/>
        <v>2</v>
      </c>
      <c r="H8" s="56">
        <f t="shared" si="2"/>
        <v>2</v>
      </c>
      <c r="I8" s="56">
        <f t="shared" si="2"/>
        <v>2</v>
      </c>
      <c r="J8" s="56">
        <f t="shared" si="2"/>
        <v>2</v>
      </c>
      <c r="K8" s="56">
        <f t="shared" si="2"/>
        <v>2</v>
      </c>
      <c r="L8" s="56">
        <f t="shared" si="2"/>
        <v>2</v>
      </c>
      <c r="M8" s="56">
        <f t="shared" si="2"/>
        <v>2</v>
      </c>
      <c r="N8" s="56">
        <f t="shared" si="2"/>
        <v>2</v>
      </c>
      <c r="O8" s="56">
        <f t="shared" si="2"/>
        <v>2</v>
      </c>
      <c r="P8" s="56">
        <f t="shared" si="2"/>
        <v>2</v>
      </c>
    </row>
    <row r="9" spans="2:16" ht="18" thickBot="1">
      <c r="B9" s="45" t="s">
        <v>155</v>
      </c>
      <c r="C9" s="66" t="s">
        <v>148</v>
      </c>
      <c r="D9" s="3">
        <f>'13_Recap_ tc et tk nominaux'!D9</f>
        <v>0.098</v>
      </c>
      <c r="E9" s="3">
        <f>'13_Recap_ tc et tk nominaux'!E9</f>
        <v>0.098</v>
      </c>
      <c r="F9" s="3">
        <f>'13_Recap_ tc et tk nominaux'!F9</f>
        <v>0.098</v>
      </c>
      <c r="G9" s="3">
        <f>'13_Recap_ tc et tk nominaux'!G9</f>
        <v>0.098</v>
      </c>
      <c r="H9" s="3">
        <f>'13_Recap_ tc et tk nominaux'!H9</f>
        <v>0.098</v>
      </c>
      <c r="I9" s="3">
        <f>'13_Recap_ tc et tk nominaux'!I9</f>
        <v>0.098</v>
      </c>
      <c r="J9" s="3">
        <f>'13_Recap_ tc et tk nominaux'!J9</f>
        <v>0.098</v>
      </c>
      <c r="K9" s="3">
        <f>'13_Recap_ tc et tk nominaux'!K9</f>
        <v>0.085</v>
      </c>
      <c r="L9" s="3">
        <f>'13_Recap_ tc et tk nominaux'!L9</f>
        <v>0.085</v>
      </c>
      <c r="M9" s="3">
        <f>'13_Recap_ tc et tk nominaux'!M9</f>
        <v>0.085</v>
      </c>
      <c r="N9" s="3">
        <f>'13_Recap_ tc et tk nominaux'!N9</f>
        <v>0.085</v>
      </c>
      <c r="O9" s="3">
        <f>'13_Recap_ tc et tk nominaux'!O9</f>
        <v>0.085</v>
      </c>
      <c r="P9" s="3">
        <f>'13_Recap_ tc et tk nominaux'!P9</f>
        <v>0.085</v>
      </c>
    </row>
    <row r="10" spans="2:16" ht="18" thickBot="1">
      <c r="B10" s="45" t="s">
        <v>130</v>
      </c>
      <c r="C10" s="66" t="s">
        <v>149</v>
      </c>
      <c r="D10" s="3">
        <f>'18_ Données taux bénéfice'!D7</f>
        <v>0.0454471888667232</v>
      </c>
      <c r="E10" s="3">
        <f>'18_ Données taux bénéfice'!E7</f>
        <v>0.04542937205164503</v>
      </c>
      <c r="F10" s="3">
        <f>'18_ Données taux bénéfice'!F7</f>
        <v>0.045429258778904386</v>
      </c>
      <c r="G10" s="3">
        <f>'18_ Données taux bénéfice'!G7</f>
        <v>0.04539643779221427</v>
      </c>
      <c r="H10" s="3">
        <f>'18_ Données taux bénéfice'!H7</f>
        <v>0.04541296826653552</v>
      </c>
      <c r="I10" s="3">
        <f>'18_ Données taux bénéfice'!I7</f>
        <v>0.04541296826653552</v>
      </c>
      <c r="J10" s="3">
        <f>'18_ Données taux bénéfice'!J7</f>
        <v>0.04541296826653552</v>
      </c>
      <c r="K10" s="3">
        <f>'18_ Données taux bénéfice'!K7</f>
        <v>0.045464750654390984</v>
      </c>
      <c r="L10" s="3">
        <f>'18_ Données taux bénéfice'!L7</f>
        <v>0.04546483261637598</v>
      </c>
      <c r="M10" s="3">
        <f>'18_ Données taux bénéfice'!M7</f>
        <v>0.04546483261637598</v>
      </c>
      <c r="N10" s="3">
        <f>'18_ Données taux bénéfice'!N7</f>
        <v>0.03894171917436863</v>
      </c>
      <c r="O10" s="3">
        <f>'18_ Données taux bénéfice'!O7</f>
        <v>0.03894171917436863</v>
      </c>
      <c r="P10" s="3">
        <f>'18_ Données taux bénéfice'!P7</f>
        <v>0.03894355446723998</v>
      </c>
    </row>
    <row r="11" spans="2:16" ht="27.75" customHeight="1" thickBot="1">
      <c r="B11" s="45" t="s">
        <v>131</v>
      </c>
      <c r="C11" s="66" t="s">
        <v>199</v>
      </c>
      <c r="D11" s="8">
        <f>'13_Recap_ tc et tk nominaux'!D11</f>
        <v>4.58216</v>
      </c>
      <c r="E11" s="8">
        <f>'13_Recap_ tc et tk nominaux'!E11</f>
        <v>4.69067</v>
      </c>
      <c r="F11" s="8">
        <f>'13_Recap_ tc et tk nominaux'!F11</f>
        <v>4.6913599999999995</v>
      </c>
      <c r="G11" s="8">
        <f>'13_Recap_ tc et tk nominaux'!G11</f>
        <v>4.891359999999999</v>
      </c>
      <c r="H11" s="8">
        <f>'13_Recap_ tc et tk nominaux'!H11</f>
        <v>4.792</v>
      </c>
      <c r="I11" s="8">
        <f>'13_Recap_ tc et tk nominaux'!I11</f>
        <v>4.792</v>
      </c>
      <c r="J11" s="8">
        <f>'13_Recap_ tc et tk nominaux'!J11</f>
        <v>4.792</v>
      </c>
      <c r="K11" s="8">
        <f>'13_Recap_ tc et tk nominaux'!K11</f>
        <v>4.792</v>
      </c>
      <c r="L11" s="8">
        <f>'13_Recap_ tc et tk nominaux'!L11</f>
        <v>4.791499999999999</v>
      </c>
      <c r="M11" s="8">
        <f>'13_Recap_ tc et tk nominaux'!M11</f>
        <v>4.791499999999999</v>
      </c>
      <c r="N11" s="8">
        <f>'13_Recap_ tc et tk nominaux'!N11</f>
        <v>4.791499999999999</v>
      </c>
      <c r="O11" s="8">
        <f>'13_Recap_ tc et tk nominaux'!O11</f>
        <v>4.791499999999999</v>
      </c>
      <c r="P11" s="8">
        <f>'13_Recap_ tc et tk nominaux'!P11</f>
        <v>4.791499999999999</v>
      </c>
    </row>
    <row r="12" spans="2:16" ht="32.25" customHeight="1" thickBot="1">
      <c r="B12" s="45" t="s">
        <v>132</v>
      </c>
      <c r="C12" s="66" t="s">
        <v>150</v>
      </c>
      <c r="D12" s="5">
        <f aca="true" t="shared" si="3" ref="D12:P12">D10*D11</f>
        <v>0.20824629093754438</v>
      </c>
      <c r="E12" s="5">
        <f t="shared" si="3"/>
        <v>0.2130941926014898</v>
      </c>
      <c r="F12" s="5">
        <f t="shared" si="3"/>
        <v>0.21312500746500085</v>
      </c>
      <c r="G12" s="5">
        <f t="shared" si="3"/>
        <v>0.22205031995932514</v>
      </c>
      <c r="H12" s="5">
        <f t="shared" si="3"/>
        <v>0.21761894393323822</v>
      </c>
      <c r="I12" s="5">
        <f t="shared" si="3"/>
        <v>0.21761894393323822</v>
      </c>
      <c r="J12" s="5">
        <f t="shared" si="3"/>
        <v>0.21761894393323822</v>
      </c>
      <c r="K12" s="5">
        <f t="shared" si="3"/>
        <v>0.21786708513584158</v>
      </c>
      <c r="L12" s="5">
        <f t="shared" si="3"/>
        <v>0.21784474548136548</v>
      </c>
      <c r="M12" s="5">
        <f t="shared" si="3"/>
        <v>0.21784474548136548</v>
      </c>
      <c r="N12" s="5">
        <f t="shared" si="3"/>
        <v>0.18658924742398725</v>
      </c>
      <c r="O12" s="5">
        <f t="shared" si="3"/>
        <v>0.18658924742398725</v>
      </c>
      <c r="P12" s="5">
        <f t="shared" si="3"/>
        <v>0.18659804122978033</v>
      </c>
    </row>
    <row r="13" spans="2:16" ht="32.25" customHeight="1" thickBot="1">
      <c r="B13" s="53" t="s">
        <v>133</v>
      </c>
      <c r="C13" s="67" t="s">
        <v>151</v>
      </c>
      <c r="D13" s="59">
        <f aca="true" t="shared" si="4" ref="D13:P13">D9+D12</f>
        <v>0.3062462909375444</v>
      </c>
      <c r="E13" s="59">
        <f t="shared" si="4"/>
        <v>0.3110941926014898</v>
      </c>
      <c r="F13" s="59">
        <f t="shared" si="4"/>
        <v>0.3111250074650008</v>
      </c>
      <c r="G13" s="59">
        <f t="shared" si="4"/>
        <v>0.32005031995932515</v>
      </c>
      <c r="H13" s="59">
        <f t="shared" si="4"/>
        <v>0.3156189439332382</v>
      </c>
      <c r="I13" s="59">
        <f t="shared" si="4"/>
        <v>0.3156189439332382</v>
      </c>
      <c r="J13" s="59">
        <f t="shared" si="4"/>
        <v>0.3156189439332382</v>
      </c>
      <c r="K13" s="59">
        <f t="shared" si="4"/>
        <v>0.3028670851358416</v>
      </c>
      <c r="L13" s="59">
        <f t="shared" si="4"/>
        <v>0.3028447454813655</v>
      </c>
      <c r="M13" s="59">
        <f t="shared" si="4"/>
        <v>0.3028447454813655</v>
      </c>
      <c r="N13" s="59">
        <f t="shared" si="4"/>
        <v>0.27158924742398727</v>
      </c>
      <c r="O13" s="59">
        <f t="shared" si="4"/>
        <v>0.27158924742398727</v>
      </c>
      <c r="P13" s="59">
        <f t="shared" si="4"/>
        <v>0.2715980412297803</v>
      </c>
    </row>
    <row r="14" spans="2:16" ht="27.75" customHeight="1" thickBot="1">
      <c r="B14" s="12" t="s">
        <v>161</v>
      </c>
      <c r="C14" s="58" t="s">
        <v>160</v>
      </c>
      <c r="D14" s="13">
        <f>'13_Recap_ tc et tk nominaux'!D14</f>
        <v>0.000825</v>
      </c>
      <c r="E14" s="13">
        <f>'13_Recap_ tc et tk nominaux'!E14</f>
        <v>0.000825</v>
      </c>
      <c r="F14" s="13">
        <f>'13_Recap_ tc et tk nominaux'!F14</f>
        <v>0.000825</v>
      </c>
      <c r="G14" s="13">
        <f>'13_Recap_ tc et tk nominaux'!G14</f>
        <v>0.000825</v>
      </c>
      <c r="H14" s="13">
        <f>'13_Recap_ tc et tk nominaux'!H14</f>
        <v>0.0008</v>
      </c>
      <c r="I14" s="13">
        <f>'13_Recap_ tc et tk nominaux'!I14</f>
        <v>0.0008</v>
      </c>
      <c r="J14" s="13">
        <f>'13_Recap_ tc et tk nominaux'!J14</f>
        <v>0.0008</v>
      </c>
      <c r="K14" s="13">
        <f>'13_Recap_ tc et tk nominaux'!K14</f>
        <v>0</v>
      </c>
      <c r="L14" s="13">
        <f>'13_Recap_ tc et tk nominaux'!L14</f>
        <v>0</v>
      </c>
      <c r="M14" s="13">
        <f>'13_Recap_ tc et tk nominaux'!M14</f>
        <v>0</v>
      </c>
      <c r="N14" s="13">
        <f>'13_Recap_ tc et tk nominaux'!N14</f>
        <v>0</v>
      </c>
      <c r="O14" s="13">
        <f>'13_Recap_ tc et tk nominaux'!O14</f>
        <v>0</v>
      </c>
      <c r="P14" s="13">
        <f>'13_Recap_ tc et tk nominaux'!P14</f>
        <v>0</v>
      </c>
    </row>
    <row r="15" spans="2:16" ht="34.5" customHeight="1" thickBot="1">
      <c r="B15" s="14" t="s">
        <v>68</v>
      </c>
      <c r="C15" s="58" t="s">
        <v>154</v>
      </c>
      <c r="D15" s="13">
        <f aca="true" t="shared" si="5" ref="D15:P15">D14*D8</f>
        <v>0.00165</v>
      </c>
      <c r="E15" s="13">
        <f t="shared" si="5"/>
        <v>0.00165</v>
      </c>
      <c r="F15" s="13">
        <f t="shared" si="5"/>
        <v>0.00165</v>
      </c>
      <c r="G15" s="13">
        <f t="shared" si="5"/>
        <v>0.00165</v>
      </c>
      <c r="H15" s="13">
        <f t="shared" si="5"/>
        <v>0.0016</v>
      </c>
      <c r="I15" s="13">
        <f t="shared" si="5"/>
        <v>0.0016</v>
      </c>
      <c r="J15" s="13">
        <f t="shared" si="5"/>
        <v>0.0016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</row>
    <row r="16" spans="2:16" ht="30.75" customHeight="1" thickBot="1">
      <c r="B16" s="12" t="s">
        <v>162</v>
      </c>
      <c r="C16" s="68" t="s">
        <v>163</v>
      </c>
      <c r="D16" s="13">
        <f>'13_Recap_ tc et tk nominaux'!D16</f>
        <v>0.0009355</v>
      </c>
      <c r="E16" s="13">
        <f>'13_Recap_ tc et tk nominaux'!E16</f>
        <v>0.0009355</v>
      </c>
      <c r="F16" s="13">
        <f>'13_Recap_ tc et tk nominaux'!F16</f>
        <v>0.0009355</v>
      </c>
      <c r="G16" s="13">
        <f>'13_Recap_ tc et tk nominaux'!G16</f>
        <v>0.0009355</v>
      </c>
      <c r="H16" s="13">
        <f>'13_Recap_ tc et tk nominaux'!H16</f>
        <v>0.0009355</v>
      </c>
      <c r="I16" s="13">
        <f>'13_Recap_ tc et tk nominaux'!I16</f>
        <v>0.0009355</v>
      </c>
      <c r="J16" s="13">
        <f>'13_Recap_ tc et tk nominaux'!J16</f>
        <v>0.0009355</v>
      </c>
      <c r="K16" s="13">
        <f>'13_Recap_ tc et tk nominaux'!K16</f>
        <v>0.0009355</v>
      </c>
      <c r="L16" s="13">
        <f>'13_Recap_ tc et tk nominaux'!L16</f>
        <v>0.0009355</v>
      </c>
      <c r="M16" s="13">
        <f>'13_Recap_ tc et tk nominaux'!M16</f>
        <v>0.0009355</v>
      </c>
      <c r="N16" s="13">
        <f>'13_Recap_ tc et tk nominaux'!N16</f>
        <v>0.0005</v>
      </c>
      <c r="O16" s="13">
        <f>'13_Recap_ tc et tk nominaux'!O16</f>
        <v>0.0005</v>
      </c>
      <c r="P16" s="13">
        <f>'13_Recap_ tc et tk nominaux'!P16</f>
        <v>0.0003</v>
      </c>
    </row>
    <row r="17" spans="2:16" ht="30" customHeight="1" thickBot="1">
      <c r="B17" s="12" t="s">
        <v>72</v>
      </c>
      <c r="C17" s="77" t="s">
        <v>164</v>
      </c>
      <c r="D17" s="13">
        <f aca="true" t="shared" si="6" ref="D17:P17">D16*D11</f>
        <v>0.0042866106800000005</v>
      </c>
      <c r="E17" s="13">
        <f t="shared" si="6"/>
        <v>0.004388121785</v>
      </c>
      <c r="F17" s="13">
        <f t="shared" si="6"/>
        <v>0.00438876728</v>
      </c>
      <c r="G17" s="13">
        <f t="shared" si="6"/>
        <v>0.004575867279999999</v>
      </c>
      <c r="H17" s="13">
        <f t="shared" si="6"/>
        <v>0.004482916</v>
      </c>
      <c r="I17" s="13">
        <f t="shared" si="6"/>
        <v>0.004482916</v>
      </c>
      <c r="J17" s="13">
        <f t="shared" si="6"/>
        <v>0.004482916</v>
      </c>
      <c r="K17" s="13">
        <f t="shared" si="6"/>
        <v>0.004482916</v>
      </c>
      <c r="L17" s="13">
        <f t="shared" si="6"/>
        <v>0.004482448249999999</v>
      </c>
      <c r="M17" s="13">
        <f t="shared" si="6"/>
        <v>0.004482448249999999</v>
      </c>
      <c r="N17" s="13">
        <f t="shared" si="6"/>
        <v>0.0023957499999999994</v>
      </c>
      <c r="O17" s="13">
        <f t="shared" si="6"/>
        <v>0.0023957499999999994</v>
      </c>
      <c r="P17" s="13">
        <f t="shared" si="6"/>
        <v>0.0014374499999999996</v>
      </c>
    </row>
    <row r="18" spans="2:16" ht="29.25" customHeight="1" thickBot="1">
      <c r="B18" s="12" t="s">
        <v>73</v>
      </c>
      <c r="C18" s="58" t="s">
        <v>81</v>
      </c>
      <c r="D18" s="13">
        <f aca="true" t="shared" si="7" ref="D18:P18">D16*D8*D11</f>
        <v>0.008573221360000001</v>
      </c>
      <c r="E18" s="13">
        <f t="shared" si="7"/>
        <v>0.00877624357</v>
      </c>
      <c r="F18" s="13">
        <f t="shared" si="7"/>
        <v>0.00877753456</v>
      </c>
      <c r="G18" s="13">
        <f t="shared" si="7"/>
        <v>0.009151734559999998</v>
      </c>
      <c r="H18" s="13">
        <f t="shared" si="7"/>
        <v>0.008965832</v>
      </c>
      <c r="I18" s="13">
        <f t="shared" si="7"/>
        <v>0.008965832</v>
      </c>
      <c r="J18" s="13">
        <f t="shared" si="7"/>
        <v>0.008965832</v>
      </c>
      <c r="K18" s="13">
        <f t="shared" si="7"/>
        <v>0.008965832</v>
      </c>
      <c r="L18" s="13">
        <f t="shared" si="7"/>
        <v>0.008964896499999998</v>
      </c>
      <c r="M18" s="13">
        <f t="shared" si="7"/>
        <v>0.008964896499999998</v>
      </c>
      <c r="N18" s="13">
        <f t="shared" si="7"/>
        <v>0.004791499999999999</v>
      </c>
      <c r="O18" s="13">
        <f t="shared" si="7"/>
        <v>0.004791499999999999</v>
      </c>
      <c r="P18" s="13">
        <f t="shared" si="7"/>
        <v>0.0028748999999999992</v>
      </c>
    </row>
    <row r="19" spans="2:16" ht="30.75" customHeight="1" thickBot="1">
      <c r="B19" s="53" t="s">
        <v>165</v>
      </c>
      <c r="C19" s="60" t="s">
        <v>82</v>
      </c>
      <c r="D19" s="59">
        <f aca="true" t="shared" si="8" ref="D19:P19">D14+D17</f>
        <v>0.005111610680000001</v>
      </c>
      <c r="E19" s="59">
        <f t="shared" si="8"/>
        <v>0.005213121785</v>
      </c>
      <c r="F19" s="59">
        <f t="shared" si="8"/>
        <v>0.00521376728</v>
      </c>
      <c r="G19" s="59">
        <f t="shared" si="8"/>
        <v>0.005400867279999999</v>
      </c>
      <c r="H19" s="59">
        <f t="shared" si="8"/>
        <v>0.005282916</v>
      </c>
      <c r="I19" s="59">
        <f t="shared" si="8"/>
        <v>0.005282916</v>
      </c>
      <c r="J19" s="59">
        <f t="shared" si="8"/>
        <v>0.005282916</v>
      </c>
      <c r="K19" s="59">
        <f t="shared" si="8"/>
        <v>0.004482916</v>
      </c>
      <c r="L19" s="59">
        <f t="shared" si="8"/>
        <v>0.004482448249999999</v>
      </c>
      <c r="M19" s="59">
        <f t="shared" si="8"/>
        <v>0.004482448249999999</v>
      </c>
      <c r="N19" s="59">
        <f t="shared" si="8"/>
        <v>0.0023957499999999994</v>
      </c>
      <c r="O19" s="59">
        <f t="shared" si="8"/>
        <v>0.0023957499999999994</v>
      </c>
      <c r="P19" s="59">
        <f t="shared" si="8"/>
        <v>0.0014374499999999996</v>
      </c>
    </row>
    <row r="20" spans="2:16" ht="29.25" customHeight="1" thickBot="1">
      <c r="B20" s="53" t="s">
        <v>74</v>
      </c>
      <c r="C20" s="60" t="s">
        <v>156</v>
      </c>
      <c r="D20" s="59">
        <f aca="true" t="shared" si="9" ref="D20:P20">D15+D18</f>
        <v>0.010223221360000001</v>
      </c>
      <c r="E20" s="59">
        <f t="shared" si="9"/>
        <v>0.01042624357</v>
      </c>
      <c r="F20" s="59">
        <f t="shared" si="9"/>
        <v>0.01042753456</v>
      </c>
      <c r="G20" s="59">
        <f t="shared" si="9"/>
        <v>0.010801734559999998</v>
      </c>
      <c r="H20" s="59">
        <f t="shared" si="9"/>
        <v>0.010565832</v>
      </c>
      <c r="I20" s="59">
        <f t="shared" si="9"/>
        <v>0.010565832</v>
      </c>
      <c r="J20" s="59">
        <f t="shared" si="9"/>
        <v>0.010565832</v>
      </c>
      <c r="K20" s="59">
        <f t="shared" si="9"/>
        <v>0.008965832</v>
      </c>
      <c r="L20" s="59">
        <f t="shared" si="9"/>
        <v>0.008964896499999998</v>
      </c>
      <c r="M20" s="59">
        <f t="shared" si="9"/>
        <v>0.008964896499999998</v>
      </c>
      <c r="N20" s="59">
        <f t="shared" si="9"/>
        <v>0.004791499999999999</v>
      </c>
      <c r="O20" s="59">
        <f t="shared" si="9"/>
        <v>0.004791499999999999</v>
      </c>
      <c r="P20" s="59">
        <f t="shared" si="9"/>
        <v>0.0028748999999999992</v>
      </c>
    </row>
    <row r="21" spans="2:16" ht="31.5" customHeight="1" thickBot="1">
      <c r="B21" s="61" t="s">
        <v>83</v>
      </c>
      <c r="C21" s="62" t="s">
        <v>157</v>
      </c>
      <c r="D21" s="59">
        <f aca="true" t="shared" si="10" ref="D21:P21">D13+D20</f>
        <v>0.3164695122975444</v>
      </c>
      <c r="E21" s="59">
        <f t="shared" si="10"/>
        <v>0.3215204361714898</v>
      </c>
      <c r="F21" s="59">
        <f t="shared" si="10"/>
        <v>0.32155254202500083</v>
      </c>
      <c r="G21" s="59">
        <f t="shared" si="10"/>
        <v>0.33085205451932514</v>
      </c>
      <c r="H21" s="59">
        <f t="shared" si="10"/>
        <v>0.3261847759332382</v>
      </c>
      <c r="I21" s="59">
        <f t="shared" si="10"/>
        <v>0.3261847759332382</v>
      </c>
      <c r="J21" s="59">
        <f t="shared" si="10"/>
        <v>0.3261847759332382</v>
      </c>
      <c r="K21" s="59">
        <f t="shared" si="10"/>
        <v>0.3118329171358416</v>
      </c>
      <c r="L21" s="59">
        <f t="shared" si="10"/>
        <v>0.31180964198136546</v>
      </c>
      <c r="M21" s="59">
        <f t="shared" si="10"/>
        <v>0.31180964198136546</v>
      </c>
      <c r="N21" s="59">
        <f t="shared" si="10"/>
        <v>0.27638074742398727</v>
      </c>
      <c r="O21" s="59">
        <f t="shared" si="10"/>
        <v>0.27638074742398727</v>
      </c>
      <c r="P21" s="59">
        <f t="shared" si="10"/>
        <v>0.27447294122978033</v>
      </c>
    </row>
    <row r="22" spans="2:16" ht="31.5" customHeight="1" thickBot="1">
      <c r="B22" s="2" t="s">
        <v>84</v>
      </c>
      <c r="C22" s="46" t="s">
        <v>141</v>
      </c>
      <c r="D22" s="5">
        <f aca="true" t="shared" si="11" ref="D22:P22">D21/(1+D13)</f>
        <v>0.2422739987804304</v>
      </c>
      <c r="E22" s="5">
        <f t="shared" si="11"/>
        <v>0.24523061576035574</v>
      </c>
      <c r="F22" s="5">
        <f t="shared" si="11"/>
        <v>0.24524933945597432</v>
      </c>
      <c r="G22" s="5">
        <f t="shared" si="11"/>
        <v>0.25063594130981287</v>
      </c>
      <c r="H22" s="5">
        <f t="shared" si="11"/>
        <v>0.24793256241663741</v>
      </c>
      <c r="I22" s="5">
        <f t="shared" si="11"/>
        <v>0.24793256241663741</v>
      </c>
      <c r="J22" s="5">
        <f t="shared" si="11"/>
        <v>0.24793256241663741</v>
      </c>
      <c r="K22" s="5">
        <f t="shared" si="11"/>
        <v>0.2393436143206648</v>
      </c>
      <c r="L22" s="5">
        <f t="shared" si="11"/>
        <v>0.23932985343250576</v>
      </c>
      <c r="M22" s="5">
        <f t="shared" si="11"/>
        <v>0.23932985343250576</v>
      </c>
      <c r="N22" s="5">
        <f t="shared" si="11"/>
        <v>0.21735064839836082</v>
      </c>
      <c r="O22" s="5">
        <f t="shared" si="11"/>
        <v>0.21735064839836082</v>
      </c>
      <c r="P22" s="5">
        <f t="shared" si="11"/>
        <v>0.21584882355145318</v>
      </c>
    </row>
    <row r="23" spans="2:16" ht="30.75" customHeight="1" thickBot="1">
      <c r="B23" s="2" t="s">
        <v>85</v>
      </c>
      <c r="C23" s="70" t="s">
        <v>142</v>
      </c>
      <c r="D23" s="5">
        <f aca="true" t="shared" si="12" ref="D23:P23">D13*(1-D22)+D20</f>
        <v>0.24227399878043043</v>
      </c>
      <c r="E23" s="5">
        <f t="shared" si="12"/>
        <v>0.24523061576035574</v>
      </c>
      <c r="F23" s="5">
        <f t="shared" si="12"/>
        <v>0.24524933945597432</v>
      </c>
      <c r="G23" s="5">
        <f t="shared" si="12"/>
        <v>0.25063594130981287</v>
      </c>
      <c r="H23" s="5">
        <f t="shared" si="12"/>
        <v>0.24793256241663744</v>
      </c>
      <c r="I23" s="5">
        <f t="shared" si="12"/>
        <v>0.24793256241663744</v>
      </c>
      <c r="J23" s="5">
        <f t="shared" si="12"/>
        <v>0.24793256241663744</v>
      </c>
      <c r="K23" s="5">
        <f t="shared" si="12"/>
        <v>0.23934361432066475</v>
      </c>
      <c r="L23" s="5">
        <f t="shared" si="12"/>
        <v>0.23932985343250573</v>
      </c>
      <c r="M23" s="5">
        <f t="shared" si="12"/>
        <v>0.23932985343250573</v>
      </c>
      <c r="N23" s="5">
        <f t="shared" si="12"/>
        <v>0.2173506483983608</v>
      </c>
      <c r="O23" s="5">
        <f t="shared" si="12"/>
        <v>0.2173506483983608</v>
      </c>
      <c r="P23" s="5">
        <f t="shared" si="12"/>
        <v>0.21584882355145316</v>
      </c>
    </row>
    <row r="24" spans="2:16" ht="30" customHeight="1" thickBot="1">
      <c r="B24" s="2" t="s">
        <v>86</v>
      </c>
      <c r="C24" s="46" t="s">
        <v>138</v>
      </c>
      <c r="D24" s="5">
        <f aca="true" t="shared" si="13" ref="D24:P24">D9*(1-D22)+D15</f>
        <v>0.07590714811951782</v>
      </c>
      <c r="E24" s="5">
        <f t="shared" si="13"/>
        <v>0.07561739965548514</v>
      </c>
      <c r="F24" s="5">
        <f t="shared" si="13"/>
        <v>0.07561556473331452</v>
      </c>
      <c r="G24" s="5">
        <f t="shared" si="13"/>
        <v>0.07508767775163834</v>
      </c>
      <c r="H24" s="5">
        <f t="shared" si="13"/>
        <v>0.07530260888316954</v>
      </c>
      <c r="I24" s="5">
        <f t="shared" si="13"/>
        <v>0.07530260888316954</v>
      </c>
      <c r="J24" s="5">
        <f t="shared" si="13"/>
        <v>0.07530260888316954</v>
      </c>
      <c r="K24" s="5">
        <f t="shared" si="13"/>
        <v>0.06465579278274348</v>
      </c>
      <c r="L24" s="5">
        <f t="shared" si="13"/>
        <v>0.06465696245823702</v>
      </c>
      <c r="M24" s="5">
        <f t="shared" si="13"/>
        <v>0.06465696245823702</v>
      </c>
      <c r="N24" s="5">
        <f t="shared" si="13"/>
        <v>0.06652519488613934</v>
      </c>
      <c r="O24" s="5">
        <f t="shared" si="13"/>
        <v>0.06652519488613934</v>
      </c>
      <c r="P24" s="5">
        <f t="shared" si="13"/>
        <v>0.06665284999812648</v>
      </c>
    </row>
    <row r="25" spans="2:16" ht="26.25" thickBot="1">
      <c r="B25" s="2" t="s">
        <v>87</v>
      </c>
      <c r="C25" s="46" t="s">
        <v>137</v>
      </c>
      <c r="D25" s="5">
        <f aca="true" t="shared" si="14" ref="D25:P25">D15+(D9*(1-D20)/(1+D13))</f>
        <v>0.0759071481195178</v>
      </c>
      <c r="E25" s="5">
        <f t="shared" si="14"/>
        <v>0.07561739965548514</v>
      </c>
      <c r="F25" s="5">
        <f t="shared" si="14"/>
        <v>0.07561556473331452</v>
      </c>
      <c r="G25" s="5">
        <f t="shared" si="14"/>
        <v>0.07508767775163833</v>
      </c>
      <c r="H25" s="5">
        <f t="shared" si="14"/>
        <v>0.07530260888316954</v>
      </c>
      <c r="I25" s="5">
        <f t="shared" si="14"/>
        <v>0.07530260888316954</v>
      </c>
      <c r="J25" s="5">
        <f t="shared" si="14"/>
        <v>0.07530260888316954</v>
      </c>
      <c r="K25" s="5">
        <f t="shared" si="14"/>
        <v>0.06465579278274351</v>
      </c>
      <c r="L25" s="5">
        <f t="shared" si="14"/>
        <v>0.06465696245823702</v>
      </c>
      <c r="M25" s="5">
        <f t="shared" si="14"/>
        <v>0.06465696245823702</v>
      </c>
      <c r="N25" s="5">
        <f t="shared" si="14"/>
        <v>0.06652519488613934</v>
      </c>
      <c r="O25" s="5">
        <f t="shared" si="14"/>
        <v>0.06652519488613934</v>
      </c>
      <c r="P25" s="5">
        <f t="shared" si="14"/>
        <v>0.0666528499981265</v>
      </c>
    </row>
    <row r="26" spans="2:16" ht="20.25" customHeight="1" thickBot="1">
      <c r="B26" s="2" t="s">
        <v>88</v>
      </c>
      <c r="C26" s="46" t="s">
        <v>166</v>
      </c>
      <c r="D26" s="5">
        <f aca="true" t="shared" si="15" ref="D26:P26">D25-D15</f>
        <v>0.07425714811951781</v>
      </c>
      <c r="E26" s="5">
        <f t="shared" si="15"/>
        <v>0.07396739965548514</v>
      </c>
      <c r="F26" s="5">
        <f t="shared" si="15"/>
        <v>0.07396556473331452</v>
      </c>
      <c r="G26" s="5">
        <f t="shared" si="15"/>
        <v>0.07343767775163833</v>
      </c>
      <c r="H26" s="5">
        <f t="shared" si="15"/>
        <v>0.07370260888316954</v>
      </c>
      <c r="I26" s="5">
        <f t="shared" si="15"/>
        <v>0.07370260888316954</v>
      </c>
      <c r="J26" s="5">
        <f t="shared" si="15"/>
        <v>0.07370260888316954</v>
      </c>
      <c r="K26" s="5">
        <f t="shared" si="15"/>
        <v>0.06465579278274351</v>
      </c>
      <c r="L26" s="5">
        <f t="shared" si="15"/>
        <v>0.06465696245823702</v>
      </c>
      <c r="M26" s="5">
        <f t="shared" si="15"/>
        <v>0.06465696245823702</v>
      </c>
      <c r="N26" s="5">
        <f t="shared" si="15"/>
        <v>0.06652519488613934</v>
      </c>
      <c r="O26" s="5">
        <f t="shared" si="15"/>
        <v>0.06652519488613934</v>
      </c>
      <c r="P26" s="5">
        <f t="shared" si="15"/>
        <v>0.0666528499981265</v>
      </c>
    </row>
    <row r="27" spans="2:16" ht="30" customHeight="1" thickBot="1">
      <c r="B27" s="2" t="s">
        <v>124</v>
      </c>
      <c r="C27" s="46" t="s">
        <v>100</v>
      </c>
      <c r="D27" s="5">
        <f aca="true" t="shared" si="16" ref="D27:P27">(D12*(1-D22))+D18</f>
        <v>0.16636685066091259</v>
      </c>
      <c r="E27" s="5">
        <f t="shared" si="16"/>
        <v>0.16961321610487062</v>
      </c>
      <c r="F27" s="5">
        <f t="shared" si="16"/>
        <v>0.1696337747226598</v>
      </c>
      <c r="G27" s="5">
        <f t="shared" si="16"/>
        <v>0.17554826355817452</v>
      </c>
      <c r="H27" s="5">
        <f t="shared" si="16"/>
        <v>0.1726299535334679</v>
      </c>
      <c r="I27" s="5">
        <f t="shared" si="16"/>
        <v>0.1726299535334679</v>
      </c>
      <c r="J27" s="5">
        <f t="shared" si="16"/>
        <v>0.1726299535334679</v>
      </c>
      <c r="K27" s="5">
        <f t="shared" si="16"/>
        <v>0.17468782153792126</v>
      </c>
      <c r="L27" s="5">
        <f t="shared" si="16"/>
        <v>0.17467289097426875</v>
      </c>
      <c r="M27" s="5">
        <f t="shared" si="16"/>
        <v>0.17467289097426875</v>
      </c>
      <c r="N27" s="5">
        <f t="shared" si="16"/>
        <v>0.15082545351222146</v>
      </c>
      <c r="O27" s="5">
        <f t="shared" si="16"/>
        <v>0.15082545351222146</v>
      </c>
      <c r="P27" s="5">
        <f t="shared" si="16"/>
        <v>0.14919597355332667</v>
      </c>
    </row>
    <row r="28" spans="2:16" ht="29.25" customHeight="1" thickBot="1">
      <c r="B28" s="2" t="s">
        <v>125</v>
      </c>
      <c r="C28" s="46" t="s">
        <v>139</v>
      </c>
      <c r="D28" s="5">
        <f aca="true" t="shared" si="17" ref="D28:P28">(D12*(1-D20)/(1+D13))+D18</f>
        <v>0.16636685066091256</v>
      </c>
      <c r="E28" s="5">
        <f t="shared" si="17"/>
        <v>0.16961321610487062</v>
      </c>
      <c r="F28" s="5">
        <f t="shared" si="17"/>
        <v>0.1696337747226598</v>
      </c>
      <c r="G28" s="5">
        <f t="shared" si="17"/>
        <v>0.17554826355817452</v>
      </c>
      <c r="H28" s="5">
        <f t="shared" si="17"/>
        <v>0.1726299535334679</v>
      </c>
      <c r="I28" s="5">
        <f t="shared" si="17"/>
        <v>0.1726299535334679</v>
      </c>
      <c r="J28" s="5">
        <f t="shared" si="17"/>
        <v>0.1726299535334679</v>
      </c>
      <c r="K28" s="5">
        <f t="shared" si="17"/>
        <v>0.17468782153792128</v>
      </c>
      <c r="L28" s="5">
        <f t="shared" si="17"/>
        <v>0.17467289097426875</v>
      </c>
      <c r="M28" s="5">
        <f t="shared" si="17"/>
        <v>0.17467289097426875</v>
      </c>
      <c r="N28" s="5">
        <f t="shared" si="17"/>
        <v>0.15082545351222149</v>
      </c>
      <c r="O28" s="5">
        <f t="shared" si="17"/>
        <v>0.15082545351222149</v>
      </c>
      <c r="P28" s="5">
        <f t="shared" si="17"/>
        <v>0.14919597355332667</v>
      </c>
    </row>
    <row r="29" spans="2:16" ht="18" thickBot="1">
      <c r="B29" s="2" t="s">
        <v>126</v>
      </c>
      <c r="C29" s="46" t="s">
        <v>101</v>
      </c>
      <c r="D29" s="5">
        <f aca="true" t="shared" si="18" ref="D29:P29">D27-D18</f>
        <v>0.1577936293009126</v>
      </c>
      <c r="E29" s="5">
        <f t="shared" si="18"/>
        <v>0.16083697253487061</v>
      </c>
      <c r="F29" s="5">
        <f t="shared" si="18"/>
        <v>0.1608562401626598</v>
      </c>
      <c r="G29" s="5">
        <f t="shared" si="18"/>
        <v>0.16639652899817453</v>
      </c>
      <c r="H29" s="5">
        <f t="shared" si="18"/>
        <v>0.1636641215334679</v>
      </c>
      <c r="I29" s="5">
        <f t="shared" si="18"/>
        <v>0.1636641215334679</v>
      </c>
      <c r="J29" s="5">
        <f t="shared" si="18"/>
        <v>0.1636641215334679</v>
      </c>
      <c r="K29" s="5">
        <f t="shared" si="18"/>
        <v>0.16572198953792125</v>
      </c>
      <c r="L29" s="5">
        <f t="shared" si="18"/>
        <v>0.16570799447426876</v>
      </c>
      <c r="M29" s="5">
        <f t="shared" si="18"/>
        <v>0.16570799447426876</v>
      </c>
      <c r="N29" s="5">
        <f t="shared" si="18"/>
        <v>0.14603395351222145</v>
      </c>
      <c r="O29" s="5">
        <f t="shared" si="18"/>
        <v>0.14603395351222145</v>
      </c>
      <c r="P29" s="5">
        <f t="shared" si="18"/>
        <v>0.14632107355332669</v>
      </c>
    </row>
    <row r="30" spans="2:16" ht="18" thickBot="1">
      <c r="B30" s="2" t="s">
        <v>127</v>
      </c>
      <c r="C30" s="46" t="s">
        <v>140</v>
      </c>
      <c r="D30" s="47">
        <f aca="true" t="shared" si="19" ref="D30:P30">D24+D27</f>
        <v>0.2422739987804304</v>
      </c>
      <c r="E30" s="47">
        <f t="shared" si="19"/>
        <v>0.24523061576035576</v>
      </c>
      <c r="F30" s="47">
        <f t="shared" si="19"/>
        <v>0.24524933945597432</v>
      </c>
      <c r="G30" s="47">
        <f t="shared" si="19"/>
        <v>0.25063594130981287</v>
      </c>
      <c r="H30" s="47">
        <f t="shared" si="19"/>
        <v>0.24793256241663747</v>
      </c>
      <c r="I30" s="47">
        <f t="shared" si="19"/>
        <v>0.24793256241663747</v>
      </c>
      <c r="J30" s="47">
        <f t="shared" si="19"/>
        <v>0.24793256241663747</v>
      </c>
      <c r="K30" s="47">
        <f t="shared" si="19"/>
        <v>0.23934361432066475</v>
      </c>
      <c r="L30" s="47">
        <f t="shared" si="19"/>
        <v>0.23932985343250576</v>
      </c>
      <c r="M30" s="47">
        <f t="shared" si="19"/>
        <v>0.23932985343250576</v>
      </c>
      <c r="N30" s="47">
        <f t="shared" si="19"/>
        <v>0.2173506483983608</v>
      </c>
      <c r="O30" s="47">
        <f t="shared" si="19"/>
        <v>0.2173506483983608</v>
      </c>
      <c r="P30" s="47">
        <f t="shared" si="19"/>
        <v>0.21584882355145316</v>
      </c>
    </row>
    <row r="31" spans="2:16" ht="21" customHeight="1" thickBot="1">
      <c r="B31" s="53" t="s">
        <v>128</v>
      </c>
      <c r="C31" s="62" t="s">
        <v>102</v>
      </c>
      <c r="D31" s="71">
        <f aca="true" t="shared" si="20" ref="D31:P31">D13*(1-D20)/(1+D13)</f>
        <v>0.2320507774204304</v>
      </c>
      <c r="E31" s="71">
        <f t="shared" si="20"/>
        <v>0.23480437219035571</v>
      </c>
      <c r="F31" s="71">
        <f t="shared" si="20"/>
        <v>0.2348218048959743</v>
      </c>
      <c r="G31" s="71">
        <f t="shared" si="20"/>
        <v>0.2398342067498129</v>
      </c>
      <c r="H31" s="71">
        <f t="shared" si="20"/>
        <v>0.23736673041663744</v>
      </c>
      <c r="I31" s="71">
        <f t="shared" si="20"/>
        <v>0.23736673041663744</v>
      </c>
      <c r="J31" s="71">
        <f t="shared" si="20"/>
        <v>0.23736673041663744</v>
      </c>
      <c r="K31" s="71">
        <f t="shared" si="20"/>
        <v>0.2303777823206648</v>
      </c>
      <c r="L31" s="71">
        <f t="shared" si="20"/>
        <v>0.23036495693250575</v>
      </c>
      <c r="M31" s="71">
        <f t="shared" si="20"/>
        <v>0.23036495693250575</v>
      </c>
      <c r="N31" s="71">
        <f t="shared" si="20"/>
        <v>0.21255914839836082</v>
      </c>
      <c r="O31" s="71">
        <f t="shared" si="20"/>
        <v>0.21255914839836082</v>
      </c>
      <c r="P31" s="71">
        <f t="shared" si="20"/>
        <v>0.21297392355145314</v>
      </c>
    </row>
    <row r="32" spans="2:16" ht="20.25" customHeight="1" thickBot="1">
      <c r="B32" s="53" t="s">
        <v>129</v>
      </c>
      <c r="C32" s="62" t="s">
        <v>143</v>
      </c>
      <c r="D32" s="71">
        <f aca="true" t="shared" si="21" ref="D32:P32">D20</f>
        <v>0.010223221360000001</v>
      </c>
      <c r="E32" s="71">
        <f t="shared" si="21"/>
        <v>0.01042624357</v>
      </c>
      <c r="F32" s="71">
        <f t="shared" si="21"/>
        <v>0.01042753456</v>
      </c>
      <c r="G32" s="71">
        <f t="shared" si="21"/>
        <v>0.010801734559999998</v>
      </c>
      <c r="H32" s="71">
        <f t="shared" si="21"/>
        <v>0.010565832</v>
      </c>
      <c r="I32" s="71">
        <f t="shared" si="21"/>
        <v>0.010565832</v>
      </c>
      <c r="J32" s="71">
        <f t="shared" si="21"/>
        <v>0.010565832</v>
      </c>
      <c r="K32" s="71">
        <f t="shared" si="21"/>
        <v>0.008965832</v>
      </c>
      <c r="L32" s="71">
        <f t="shared" si="21"/>
        <v>0.008964896499999998</v>
      </c>
      <c r="M32" s="71">
        <f t="shared" si="21"/>
        <v>0.008964896499999998</v>
      </c>
      <c r="N32" s="71">
        <f t="shared" si="21"/>
        <v>0.004791499999999999</v>
      </c>
      <c r="O32" s="71">
        <f t="shared" si="21"/>
        <v>0.004791499999999999</v>
      </c>
      <c r="P32" s="71">
        <f t="shared" si="21"/>
        <v>0.0028748999999999992</v>
      </c>
    </row>
    <row r="33" spans="2:16" ht="6.75" customHeight="1" thickBot="1">
      <c r="B33" s="53"/>
      <c r="C33" s="62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 ht="18" thickBot="1">
      <c r="B34" s="161" t="s">
        <v>397</v>
      </c>
      <c r="C34" s="162" t="s">
        <v>398</v>
      </c>
      <c r="D34" s="79">
        <f>D31+D32</f>
        <v>0.2422739987804304</v>
      </c>
      <c r="E34" s="79">
        <f aca="true" t="shared" si="22" ref="E34:P34">E31+E32</f>
        <v>0.2452306157603557</v>
      </c>
      <c r="F34" s="79">
        <f t="shared" si="22"/>
        <v>0.2452493394559743</v>
      </c>
      <c r="G34" s="79">
        <f t="shared" si="22"/>
        <v>0.2506359413098129</v>
      </c>
      <c r="H34" s="79">
        <f t="shared" si="22"/>
        <v>0.24793256241663744</v>
      </c>
      <c r="I34" s="79">
        <f t="shared" si="22"/>
        <v>0.24793256241663744</v>
      </c>
      <c r="J34" s="79">
        <f t="shared" si="22"/>
        <v>0.24793256241663744</v>
      </c>
      <c r="K34" s="79">
        <f t="shared" si="22"/>
        <v>0.2393436143206648</v>
      </c>
      <c r="L34" s="79">
        <f t="shared" si="22"/>
        <v>0.23932985343250573</v>
      </c>
      <c r="M34" s="79">
        <f t="shared" si="22"/>
        <v>0.23932985343250573</v>
      </c>
      <c r="N34" s="79">
        <f t="shared" si="22"/>
        <v>0.21735064839836082</v>
      </c>
      <c r="O34" s="79">
        <f t="shared" si="22"/>
        <v>0.21735064839836082</v>
      </c>
      <c r="P34" s="79">
        <f t="shared" si="22"/>
        <v>0.21584882355145313</v>
      </c>
    </row>
    <row r="35" spans="2:16" ht="18" thickBot="1">
      <c r="B35" s="161" t="s">
        <v>399</v>
      </c>
      <c r="C35" s="163" t="s">
        <v>400</v>
      </c>
      <c r="D35" s="79">
        <f>'4_Dernière synthèse'!E25</f>
        <v>0.2422739987804304</v>
      </c>
      <c r="E35" s="79">
        <f>'4_Dernière synthèse'!F25</f>
        <v>0.2452306157603557</v>
      </c>
      <c r="F35" s="79">
        <f>'4_Dernière synthèse'!G25</f>
        <v>0.2452493394559743</v>
      </c>
      <c r="G35" s="79">
        <f>'4_Dernière synthèse'!H25</f>
        <v>0.2506359413098129</v>
      </c>
      <c r="H35" s="79">
        <f>'4_Dernière synthèse'!I25</f>
        <v>0.24793256241663744</v>
      </c>
      <c r="I35" s="79">
        <f>'4_Dernière synthèse'!J25</f>
        <v>0.24793256241663744</v>
      </c>
      <c r="J35" s="79">
        <f>'4_Dernière synthèse'!K25</f>
        <v>0.24793256241663744</v>
      </c>
      <c r="K35" s="79">
        <f>'4_Dernière synthèse'!L25</f>
        <v>0.2393436143206648</v>
      </c>
      <c r="L35" s="79">
        <f>'4_Dernière synthèse'!M25</f>
        <v>0.23932985343250573</v>
      </c>
      <c r="M35" s="79">
        <f>'4_Dernière synthèse'!N25</f>
        <v>0.23932985343250573</v>
      </c>
      <c r="N35" s="79">
        <f>'4_Dernière synthèse'!O25</f>
        <v>0.21735064839836082</v>
      </c>
      <c r="O35" s="79">
        <f>'4_Dernière synthèse'!P25</f>
        <v>0.21735064839836082</v>
      </c>
      <c r="P35" s="79">
        <f>'4_Dernière synthèse'!Q25</f>
        <v>0.21584882355145313</v>
      </c>
    </row>
    <row r="36" spans="2:16" ht="18" thickBot="1">
      <c r="B36" s="164" t="s">
        <v>401</v>
      </c>
      <c r="C36" s="163" t="s">
        <v>403</v>
      </c>
      <c r="D36" s="79">
        <f>'4_Dernière synthèse'!E26</f>
        <v>0.242273</v>
      </c>
      <c r="E36" s="79">
        <f>'4_Dernière synthèse'!F26</f>
        <v>0.245239</v>
      </c>
      <c r="F36" s="79">
        <f>'4_Dernière synthèse'!G26</f>
        <v>0.245264</v>
      </c>
      <c r="G36" s="79">
        <f>'4_Dernière synthèse'!H26</f>
        <v>0.250647</v>
      </c>
      <c r="H36" s="79">
        <f>'4_Dernière synthèse'!I26</f>
        <v>0.247943</v>
      </c>
      <c r="I36" s="79">
        <f>'4_Dernière synthèse'!J26</f>
        <v>0.247943</v>
      </c>
      <c r="J36" s="79">
        <f>'4_Dernière synthèse'!K26</f>
        <v>0.247925</v>
      </c>
      <c r="K36" s="79">
        <f>'4_Dernière synthèse'!L26</f>
        <v>0.239356</v>
      </c>
      <c r="L36" s="79">
        <f>'4_Dernière synthèse'!M26</f>
        <v>0.239338</v>
      </c>
      <c r="M36" s="79">
        <f>'4_Dernière synthèse'!N26</f>
        <v>0.239338</v>
      </c>
      <c r="N36" s="79">
        <f>'4_Dernière synthèse'!O26</f>
        <v>0.217337</v>
      </c>
      <c r="O36" s="79">
        <f>'4_Dernière synthèse'!P26</f>
        <v>0.217337</v>
      </c>
      <c r="P36" s="79">
        <f>'4_Dernière synthèse'!Q26</f>
        <v>0.215834</v>
      </c>
    </row>
    <row r="37" spans="2:16" ht="18" thickBot="1">
      <c r="B37" s="161" t="s">
        <v>405</v>
      </c>
      <c r="C37" s="167" t="s">
        <v>406</v>
      </c>
      <c r="D37" s="79">
        <f>D34-D35</f>
        <v>0</v>
      </c>
      <c r="E37" s="79">
        <f aca="true" t="shared" si="23" ref="E37:P37">E34-E35</f>
        <v>0</v>
      </c>
      <c r="F37" s="79">
        <f t="shared" si="23"/>
        <v>0</v>
      </c>
      <c r="G37" s="79">
        <f t="shared" si="23"/>
        <v>0</v>
      </c>
      <c r="H37" s="79">
        <f t="shared" si="23"/>
        <v>0</v>
      </c>
      <c r="I37" s="79">
        <f t="shared" si="23"/>
        <v>0</v>
      </c>
      <c r="J37" s="79">
        <f t="shared" si="23"/>
        <v>0</v>
      </c>
      <c r="K37" s="79">
        <f t="shared" si="23"/>
        <v>0</v>
      </c>
      <c r="L37" s="79">
        <f t="shared" si="23"/>
        <v>0</v>
      </c>
      <c r="M37" s="79">
        <f t="shared" si="23"/>
        <v>0</v>
      </c>
      <c r="N37" s="79">
        <f t="shared" si="23"/>
        <v>0</v>
      </c>
      <c r="O37" s="79">
        <f t="shared" si="23"/>
        <v>0</v>
      </c>
      <c r="P37" s="79">
        <f t="shared" si="23"/>
        <v>0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P26"/>
  <sheetViews>
    <sheetView workbookViewId="0" topLeftCell="I1">
      <selection activeCell="R7" sqref="R7"/>
    </sheetView>
  </sheetViews>
  <sheetFormatPr defaultColWidth="12" defaultRowHeight="11.25"/>
  <cols>
    <col min="2" max="2" width="69.16015625" style="0" customWidth="1"/>
    <col min="3" max="3" width="32.33203125" style="0" customWidth="1"/>
    <col min="4" max="4" width="18.83203125" style="0" customWidth="1"/>
    <col min="6" max="6" width="13" style="0" customWidth="1"/>
    <col min="7" max="7" width="15.33203125" style="0" customWidth="1"/>
    <col min="8" max="8" width="12.5" style="0" customWidth="1"/>
    <col min="9" max="9" width="13.83203125" style="0" customWidth="1"/>
    <col min="10" max="10" width="12.66015625" style="0" customWidth="1"/>
    <col min="11" max="11" width="13.83203125" style="0" customWidth="1"/>
    <col min="12" max="12" width="13.5" style="0" customWidth="1"/>
    <col min="13" max="13" width="14.66015625" style="0" customWidth="1"/>
    <col min="14" max="14" width="12.66015625" style="0" bestFit="1" customWidth="1"/>
  </cols>
  <sheetData>
    <row r="1" ht="11.25">
      <c r="A1" s="122" t="s">
        <v>318</v>
      </c>
    </row>
    <row r="2" ht="17.25" customHeight="1" thickBot="1"/>
    <row r="3" spans="2:16" ht="42.75" customHeight="1" thickBot="1">
      <c r="B3" s="17" t="s">
        <v>540</v>
      </c>
      <c r="C3" s="92" t="s">
        <v>204</v>
      </c>
      <c r="D3" s="1">
        <v>1991</v>
      </c>
      <c r="E3" s="1">
        <f>D3+1</f>
        <v>1992</v>
      </c>
      <c r="F3" s="1">
        <f aca="true" t="shared" si="0" ref="F3:L3">E3+1</f>
        <v>1993</v>
      </c>
      <c r="G3" s="1">
        <f t="shared" si="0"/>
        <v>1994</v>
      </c>
      <c r="H3" s="1">
        <f t="shared" si="0"/>
        <v>1995</v>
      </c>
      <c r="I3" s="1">
        <f t="shared" si="0"/>
        <v>1996</v>
      </c>
      <c r="J3" s="1">
        <f t="shared" si="0"/>
        <v>1997</v>
      </c>
      <c r="K3" s="1">
        <f t="shared" si="0"/>
        <v>1998</v>
      </c>
      <c r="L3" s="1">
        <f t="shared" si="0"/>
        <v>1999</v>
      </c>
      <c r="M3" s="1">
        <v>2000</v>
      </c>
      <c r="N3" s="1">
        <v>2001</v>
      </c>
      <c r="O3" s="1">
        <v>2002</v>
      </c>
      <c r="P3" s="1">
        <v>2003</v>
      </c>
    </row>
    <row r="4" spans="2:16" ht="24" customHeight="1" thickBot="1">
      <c r="B4" s="2" t="s">
        <v>135</v>
      </c>
      <c r="C4" s="46" t="s">
        <v>89</v>
      </c>
      <c r="D4" s="3">
        <f>'13_Recap_ tc et tk nominaux'!D9</f>
        <v>0.098</v>
      </c>
      <c r="E4" s="3">
        <f>'13_Recap_ tc et tk nominaux'!E9</f>
        <v>0.098</v>
      </c>
      <c r="F4" s="3">
        <f>'13_Recap_ tc et tk nominaux'!F9</f>
        <v>0.098</v>
      </c>
      <c r="G4" s="3">
        <f>'13_Recap_ tc et tk nominaux'!G9</f>
        <v>0.098</v>
      </c>
      <c r="H4" s="3">
        <f>'13_Recap_ tc et tk nominaux'!H9</f>
        <v>0.098</v>
      </c>
      <c r="I4" s="3">
        <f>'13_Recap_ tc et tk nominaux'!I9</f>
        <v>0.098</v>
      </c>
      <c r="J4" s="3">
        <f>'13_Recap_ tc et tk nominaux'!J9</f>
        <v>0.098</v>
      </c>
      <c r="K4" s="3">
        <f>'13_Recap_ tc et tk nominaux'!K9</f>
        <v>0.085</v>
      </c>
      <c r="L4" s="3">
        <f>'13_Recap_ tc et tk nominaux'!L9</f>
        <v>0.085</v>
      </c>
      <c r="M4" s="3">
        <f>'13_Recap_ tc et tk nominaux'!M9</f>
        <v>0.085</v>
      </c>
      <c r="N4" s="3">
        <f>'13_Recap_ tc et tk nominaux'!N9</f>
        <v>0.085</v>
      </c>
      <c r="O4" s="3">
        <f>'13_Recap_ tc et tk nominaux'!O9</f>
        <v>0.085</v>
      </c>
      <c r="P4" s="3">
        <f>'13_Recap_ tc et tk nominaux'!P9</f>
        <v>0.085</v>
      </c>
    </row>
    <row r="5" spans="2:16" ht="24" customHeight="1" thickBot="1">
      <c r="B5" s="2" t="s">
        <v>136</v>
      </c>
      <c r="C5" s="69" t="s">
        <v>149</v>
      </c>
      <c r="D5" s="3">
        <f>'18_ Données taux bénéfice'!D7</f>
        <v>0.0454471888667232</v>
      </c>
      <c r="E5" s="3">
        <f>'18_ Données taux bénéfice'!E7</f>
        <v>0.04542937205164503</v>
      </c>
      <c r="F5" s="3">
        <f>'18_ Données taux bénéfice'!F7</f>
        <v>0.045429258778904386</v>
      </c>
      <c r="G5" s="3">
        <f>'18_ Données taux bénéfice'!G7</f>
        <v>0.04539643779221427</v>
      </c>
      <c r="H5" s="3">
        <f>'18_ Données taux bénéfice'!H7</f>
        <v>0.04541296826653552</v>
      </c>
      <c r="I5" s="3">
        <f>'18_ Données taux bénéfice'!I7</f>
        <v>0.04541296826653552</v>
      </c>
      <c r="J5" s="3">
        <f>'18_ Données taux bénéfice'!J7</f>
        <v>0.04541296826653552</v>
      </c>
      <c r="K5" s="3">
        <f>'18_ Données taux bénéfice'!K7</f>
        <v>0.045464750654390984</v>
      </c>
      <c r="L5" s="3">
        <f>'18_ Données taux bénéfice'!L7</f>
        <v>0.04546483261637598</v>
      </c>
      <c r="M5" s="3">
        <f>'18_ Données taux bénéfice'!M7</f>
        <v>0.04546483261637598</v>
      </c>
      <c r="N5" s="3">
        <f>'18_ Données taux bénéfice'!N7</f>
        <v>0.03894171917436863</v>
      </c>
      <c r="O5" s="3">
        <f>'18_ Données taux bénéfice'!O7</f>
        <v>0.03894171917436863</v>
      </c>
      <c r="P5" s="3">
        <f>'18_ Données taux bénéfice'!P7</f>
        <v>0.03894355446723998</v>
      </c>
    </row>
    <row r="6" spans="2:16" ht="24" customHeight="1" thickBot="1">
      <c r="B6" s="2" t="s">
        <v>118</v>
      </c>
      <c r="C6" s="69" t="s">
        <v>199</v>
      </c>
      <c r="D6" s="8">
        <f>'13_Recap_ tc et tk nominaux'!D11</f>
        <v>4.58216</v>
      </c>
      <c r="E6" s="8">
        <f>'13_Recap_ tc et tk nominaux'!E11</f>
        <v>4.69067</v>
      </c>
      <c r="F6" s="8">
        <f>'13_Recap_ tc et tk nominaux'!F11</f>
        <v>4.6913599999999995</v>
      </c>
      <c r="G6" s="8">
        <f>'13_Recap_ tc et tk nominaux'!G11</f>
        <v>4.891359999999999</v>
      </c>
      <c r="H6" s="8">
        <f>'13_Recap_ tc et tk nominaux'!H11</f>
        <v>4.792</v>
      </c>
      <c r="I6" s="8">
        <f>'13_Recap_ tc et tk nominaux'!I11</f>
        <v>4.792</v>
      </c>
      <c r="J6" s="8">
        <f>'13_Recap_ tc et tk nominaux'!J11</f>
        <v>4.792</v>
      </c>
      <c r="K6" s="8">
        <f>'13_Recap_ tc et tk nominaux'!K11</f>
        <v>4.792</v>
      </c>
      <c r="L6" s="8">
        <f>'13_Recap_ tc et tk nominaux'!L11</f>
        <v>4.791499999999999</v>
      </c>
      <c r="M6" s="8">
        <f>'13_Recap_ tc et tk nominaux'!M11</f>
        <v>4.791499999999999</v>
      </c>
      <c r="N6" s="8">
        <f>'13_Recap_ tc et tk nominaux'!N11</f>
        <v>4.791499999999999</v>
      </c>
      <c r="O6" s="8">
        <f>'13_Recap_ tc et tk nominaux'!O11</f>
        <v>4.791499999999999</v>
      </c>
      <c r="P6" s="8">
        <f>'13_Recap_ tc et tk nominaux'!P11</f>
        <v>4.791499999999999</v>
      </c>
    </row>
    <row r="7" spans="2:16" ht="31.5" customHeight="1" thickBot="1">
      <c r="B7" s="2" t="s">
        <v>119</v>
      </c>
      <c r="C7" s="69" t="s">
        <v>150</v>
      </c>
      <c r="D7" s="5">
        <f>D5*D6</f>
        <v>0.20824629093754438</v>
      </c>
      <c r="E7" s="5">
        <f>E5*E6</f>
        <v>0.2130941926014898</v>
      </c>
      <c r="F7" s="5">
        <f aca="true" t="shared" si="1" ref="F7:N7">F5*F6</f>
        <v>0.21312500746500085</v>
      </c>
      <c r="G7" s="5">
        <f t="shared" si="1"/>
        <v>0.22205031995932514</v>
      </c>
      <c r="H7" s="5">
        <f t="shared" si="1"/>
        <v>0.21761894393323822</v>
      </c>
      <c r="I7" s="5">
        <f t="shared" si="1"/>
        <v>0.21761894393323822</v>
      </c>
      <c r="J7" s="5">
        <f t="shared" si="1"/>
        <v>0.21761894393323822</v>
      </c>
      <c r="K7" s="5">
        <f t="shared" si="1"/>
        <v>0.21786708513584158</v>
      </c>
      <c r="L7" s="5">
        <f t="shared" si="1"/>
        <v>0.21784474548136548</v>
      </c>
      <c r="M7" s="5">
        <f t="shared" si="1"/>
        <v>0.21784474548136548</v>
      </c>
      <c r="N7" s="5">
        <f t="shared" si="1"/>
        <v>0.18658924742398725</v>
      </c>
      <c r="O7" s="5">
        <f>O5*O6</f>
        <v>0.18658924742398725</v>
      </c>
      <c r="P7" s="5">
        <f>P5*P6</f>
        <v>0.18659804122978033</v>
      </c>
    </row>
    <row r="8" spans="2:16" ht="27.75" customHeight="1" thickBot="1">
      <c r="B8" s="2" t="s">
        <v>120</v>
      </c>
      <c r="C8" s="69" t="s">
        <v>151</v>
      </c>
      <c r="D8" s="3">
        <f>D4+D7</f>
        <v>0.3062462909375444</v>
      </c>
      <c r="E8" s="3">
        <f>E4+E7</f>
        <v>0.3110941926014898</v>
      </c>
      <c r="F8" s="3">
        <f aca="true" t="shared" si="2" ref="F8:N8">F4+F7</f>
        <v>0.3111250074650008</v>
      </c>
      <c r="G8" s="3">
        <f t="shared" si="2"/>
        <v>0.32005031995932515</v>
      </c>
      <c r="H8" s="3">
        <f t="shared" si="2"/>
        <v>0.3156189439332382</v>
      </c>
      <c r="I8" s="3">
        <f t="shared" si="2"/>
        <v>0.3156189439332382</v>
      </c>
      <c r="J8" s="3">
        <f t="shared" si="2"/>
        <v>0.3156189439332382</v>
      </c>
      <c r="K8" s="3">
        <f t="shared" si="2"/>
        <v>0.3028670851358416</v>
      </c>
      <c r="L8" s="3">
        <f t="shared" si="2"/>
        <v>0.3028447454813655</v>
      </c>
      <c r="M8" s="3">
        <f t="shared" si="2"/>
        <v>0.3028447454813655</v>
      </c>
      <c r="N8" s="3">
        <f t="shared" si="2"/>
        <v>0.27158924742398727</v>
      </c>
      <c r="O8" s="3">
        <f>O4+O7</f>
        <v>0.27158924742398727</v>
      </c>
      <c r="P8" s="3">
        <f>P4+P7</f>
        <v>0.2715980412297803</v>
      </c>
    </row>
    <row r="9" spans="2:16" ht="27.75" customHeight="1" thickBot="1">
      <c r="B9" s="2" t="s">
        <v>121</v>
      </c>
      <c r="C9" s="46" t="s">
        <v>112</v>
      </c>
      <c r="D9" s="3">
        <f>D8/(1+D8)</f>
        <v>0.23444758699964566</v>
      </c>
      <c r="E9" s="3">
        <f>E8/(1+E8)</f>
        <v>0.2372782934719684</v>
      </c>
      <c r="F9" s="3">
        <f aca="true" t="shared" si="3" ref="F9:N9">F8/(1+F8)</f>
        <v>0.2372962194249857</v>
      </c>
      <c r="G9" s="3">
        <f t="shared" si="3"/>
        <v>0.24245312100616503</v>
      </c>
      <c r="H9" s="3">
        <f t="shared" si="3"/>
        <v>0.2399014892485878</v>
      </c>
      <c r="I9" s="3">
        <f t="shared" si="3"/>
        <v>0.2399014892485878</v>
      </c>
      <c r="J9" s="3">
        <f t="shared" si="3"/>
        <v>0.2399014892485878</v>
      </c>
      <c r="K9" s="3">
        <f t="shared" si="3"/>
        <v>0.23246199753696564</v>
      </c>
      <c r="L9" s="3">
        <f t="shared" si="3"/>
        <v>0.23244883669502206</v>
      </c>
      <c r="M9" s="3">
        <f t="shared" si="3"/>
        <v>0.23244883669502206</v>
      </c>
      <c r="N9" s="3">
        <f t="shared" si="3"/>
        <v>0.21358252908647868</v>
      </c>
      <c r="O9" s="47">
        <f>O8/(1+O8)</f>
        <v>0.21358252908647868</v>
      </c>
      <c r="P9" s="3">
        <f>P8/(1+P8)</f>
        <v>0.213587967599505</v>
      </c>
    </row>
    <row r="10" spans="2:16" ht="34.5" customHeight="1" thickBot="1">
      <c r="B10" s="6" t="s">
        <v>122</v>
      </c>
      <c r="C10" s="46" t="s">
        <v>390</v>
      </c>
      <c r="D10" s="43">
        <f>D4*(1-D9)</f>
        <v>0.07502413647403473</v>
      </c>
      <c r="E10" s="43">
        <f>E4*(1-E9)</f>
        <v>0.0747467272397471</v>
      </c>
      <c r="F10" s="43">
        <f aca="true" t="shared" si="4" ref="F10:N10">F4*(1-F9)</f>
        <v>0.07474497049635141</v>
      </c>
      <c r="G10" s="43">
        <f t="shared" si="4"/>
        <v>0.07423959414139583</v>
      </c>
      <c r="H10" s="43">
        <f t="shared" si="4"/>
        <v>0.0744896540536384</v>
      </c>
      <c r="I10" s="43">
        <f t="shared" si="4"/>
        <v>0.0744896540536384</v>
      </c>
      <c r="J10" s="43">
        <f t="shared" si="4"/>
        <v>0.0744896540536384</v>
      </c>
      <c r="K10" s="43">
        <f t="shared" si="4"/>
        <v>0.06524073020935793</v>
      </c>
      <c r="L10" s="43">
        <f t="shared" si="4"/>
        <v>0.06524184888092313</v>
      </c>
      <c r="M10" s="43">
        <f t="shared" si="4"/>
        <v>0.06524184888092313</v>
      </c>
      <c r="N10" s="43">
        <f t="shared" si="4"/>
        <v>0.06684548502764932</v>
      </c>
      <c r="O10" s="43">
        <f>O4*(1-O9)</f>
        <v>0.06684548502764932</v>
      </c>
      <c r="P10" s="43">
        <f>P4*(1-P9)</f>
        <v>0.06684502275404208</v>
      </c>
    </row>
    <row r="11" spans="2:16" ht="24.75" customHeight="1" thickBot="1">
      <c r="B11" s="6" t="s">
        <v>123</v>
      </c>
      <c r="C11" s="46" t="s">
        <v>391</v>
      </c>
      <c r="D11" s="43">
        <f>D7*(1-D9)</f>
        <v>0.15942345052561094</v>
      </c>
      <c r="E11" s="43">
        <f>E7*(1-E9)</f>
        <v>0.16253156623222134</v>
      </c>
      <c r="F11" s="43">
        <f aca="true" t="shared" si="5" ref="F11:L11">F7*(1-F9)</f>
        <v>0.1625512489286343</v>
      </c>
      <c r="G11" s="43">
        <f t="shared" si="5"/>
        <v>0.16821352686476923</v>
      </c>
      <c r="H11" s="43">
        <f t="shared" si="5"/>
        <v>0.16541183519494945</v>
      </c>
      <c r="I11" s="43">
        <f t="shared" si="5"/>
        <v>0.16541183519494945</v>
      </c>
      <c r="J11" s="43">
        <f t="shared" si="5"/>
        <v>0.16541183519494945</v>
      </c>
      <c r="K11" s="43">
        <f t="shared" si="5"/>
        <v>0.1672212673276077</v>
      </c>
      <c r="L11" s="43">
        <f t="shared" si="5"/>
        <v>0.16720698781409893</v>
      </c>
      <c r="M11" s="43">
        <f>M7*(1-M9)</f>
        <v>0.16720698781409893</v>
      </c>
      <c r="N11" s="43">
        <f>N7*(1-N9)</f>
        <v>0.1467370440588293</v>
      </c>
      <c r="O11" s="43">
        <f>O7*(1-O9)</f>
        <v>0.1467370440588293</v>
      </c>
      <c r="P11" s="160">
        <f>P7*(1-P9)</f>
        <v>0.1467429448454629</v>
      </c>
    </row>
    <row r="12" spans="2:16" ht="7.5" customHeight="1" thickBot="1">
      <c r="B12" s="61"/>
      <c r="C12" s="62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ht="21.75" customHeight="1" thickBot="1">
      <c r="B13" s="161" t="s">
        <v>407</v>
      </c>
      <c r="C13" s="163" t="s">
        <v>408</v>
      </c>
      <c r="D13" s="79">
        <f aca="true" t="shared" si="6" ref="D13:P13">D10+D11</f>
        <v>0.23444758699964569</v>
      </c>
      <c r="E13" s="79">
        <f t="shared" si="6"/>
        <v>0.23727829347196844</v>
      </c>
      <c r="F13" s="79">
        <f t="shared" si="6"/>
        <v>0.2372962194249857</v>
      </c>
      <c r="G13" s="79">
        <f t="shared" si="6"/>
        <v>0.24245312100616506</v>
      </c>
      <c r="H13" s="79">
        <f t="shared" si="6"/>
        <v>0.23990148924858784</v>
      </c>
      <c r="I13" s="79">
        <f t="shared" si="6"/>
        <v>0.23990148924858784</v>
      </c>
      <c r="J13" s="79">
        <f t="shared" si="6"/>
        <v>0.23990148924858784</v>
      </c>
      <c r="K13" s="79">
        <f t="shared" si="6"/>
        <v>0.23246199753696561</v>
      </c>
      <c r="L13" s="79">
        <f t="shared" si="6"/>
        <v>0.23244883669502206</v>
      </c>
      <c r="M13" s="79">
        <f t="shared" si="6"/>
        <v>0.23244883669502206</v>
      </c>
      <c r="N13" s="79">
        <f t="shared" si="6"/>
        <v>0.21358252908647862</v>
      </c>
      <c r="O13" s="79">
        <f t="shared" si="6"/>
        <v>0.21358252908647862</v>
      </c>
      <c r="P13" s="79">
        <f t="shared" si="6"/>
        <v>0.213587967599505</v>
      </c>
    </row>
    <row r="14" spans="2:16" ht="13.5" thickBot="1">
      <c r="B14" s="161" t="s">
        <v>409</v>
      </c>
      <c r="C14" s="165" t="s">
        <v>410</v>
      </c>
      <c r="D14" s="79">
        <f aca="true" t="shared" si="7" ref="D14:P14">D9-D13</f>
        <v>0</v>
      </c>
      <c r="E14" s="79">
        <f t="shared" si="7"/>
        <v>0</v>
      </c>
      <c r="F14" s="79">
        <f t="shared" si="7"/>
        <v>0</v>
      </c>
      <c r="G14" s="79">
        <f t="shared" si="7"/>
        <v>0</v>
      </c>
      <c r="H14" s="79">
        <f t="shared" si="7"/>
        <v>0</v>
      </c>
      <c r="I14" s="79">
        <f t="shared" si="7"/>
        <v>0</v>
      </c>
      <c r="J14" s="79">
        <f t="shared" si="7"/>
        <v>0</v>
      </c>
      <c r="K14" s="79">
        <f t="shared" si="7"/>
        <v>0</v>
      </c>
      <c r="L14" s="79">
        <f t="shared" si="7"/>
        <v>0</v>
      </c>
      <c r="M14" s="79">
        <f t="shared" si="7"/>
        <v>0</v>
      </c>
      <c r="N14" s="79">
        <f t="shared" si="7"/>
        <v>0</v>
      </c>
      <c r="O14" s="79">
        <f t="shared" si="7"/>
        <v>0</v>
      </c>
      <c r="P14" s="79">
        <f t="shared" si="7"/>
        <v>0</v>
      </c>
    </row>
    <row r="15" spans="2:16" ht="19.5" thickBot="1">
      <c r="B15" s="161" t="s">
        <v>417</v>
      </c>
      <c r="C15" s="163" t="s">
        <v>426</v>
      </c>
      <c r="D15" s="79">
        <f>'11_Calcul des t'' avec capital'!D15</f>
        <v>0.00165</v>
      </c>
      <c r="E15" s="79">
        <f>'11_Calcul des t'' avec capital'!E15</f>
        <v>0.00165</v>
      </c>
      <c r="F15" s="79">
        <f>'11_Calcul des t'' avec capital'!F15</f>
        <v>0.00165</v>
      </c>
      <c r="G15" s="79">
        <f>'11_Calcul des t'' avec capital'!G15</f>
        <v>0.00165</v>
      </c>
      <c r="H15" s="79">
        <f>'11_Calcul des t'' avec capital'!H15</f>
        <v>0.0016</v>
      </c>
      <c r="I15" s="79">
        <f>'11_Calcul des t'' avec capital'!I15</f>
        <v>0.0016</v>
      </c>
      <c r="J15" s="79">
        <f>'11_Calcul des t'' avec capital'!J15</f>
        <v>0.0016</v>
      </c>
      <c r="K15" s="79">
        <f>'11_Calcul des t'' avec capital'!K15</f>
        <v>0</v>
      </c>
      <c r="L15" s="79">
        <f>'11_Calcul des t'' avec capital'!L15</f>
        <v>0</v>
      </c>
      <c r="M15" s="79">
        <f>'11_Calcul des t'' avec capital'!M15</f>
        <v>0</v>
      </c>
      <c r="N15" s="79">
        <f>'11_Calcul des t'' avec capital'!N15</f>
        <v>0</v>
      </c>
      <c r="O15" s="79">
        <f>'11_Calcul des t'' avec capital'!O15</f>
        <v>0</v>
      </c>
      <c r="P15" s="79">
        <f>'11_Calcul des t'' avec capital'!P15</f>
        <v>0</v>
      </c>
    </row>
    <row r="16" spans="2:16" ht="19.5" thickBot="1">
      <c r="B16" s="161" t="s">
        <v>418</v>
      </c>
      <c r="C16" s="163" t="s">
        <v>89</v>
      </c>
      <c r="D16" s="79">
        <f>'11_Calcul des t'' avec capital'!D9</f>
        <v>0.098</v>
      </c>
      <c r="E16" s="79">
        <f>'11_Calcul des t'' avec capital'!E9</f>
        <v>0.098</v>
      </c>
      <c r="F16" s="79">
        <f>'11_Calcul des t'' avec capital'!F9</f>
        <v>0.098</v>
      </c>
      <c r="G16" s="79">
        <f>'11_Calcul des t'' avec capital'!G9</f>
        <v>0.098</v>
      </c>
      <c r="H16" s="79">
        <f>'11_Calcul des t'' avec capital'!H9</f>
        <v>0.098</v>
      </c>
      <c r="I16" s="79">
        <f>'11_Calcul des t'' avec capital'!I9</f>
        <v>0.098</v>
      </c>
      <c r="J16" s="79">
        <f>'11_Calcul des t'' avec capital'!J9</f>
        <v>0.098</v>
      </c>
      <c r="K16" s="79">
        <f>'11_Calcul des t'' avec capital'!K9</f>
        <v>0.085</v>
      </c>
      <c r="L16" s="79">
        <f>'11_Calcul des t'' avec capital'!L9</f>
        <v>0.085</v>
      </c>
      <c r="M16" s="79">
        <f>'11_Calcul des t'' avec capital'!M9</f>
        <v>0.085</v>
      </c>
      <c r="N16" s="79">
        <f>'11_Calcul des t'' avec capital'!N9</f>
        <v>0.085</v>
      </c>
      <c r="O16" s="79">
        <f>'11_Calcul des t'' avec capital'!O9</f>
        <v>0.085</v>
      </c>
      <c r="P16" s="79">
        <f>'11_Calcul des t'' avec capital'!P9</f>
        <v>0.085</v>
      </c>
    </row>
    <row r="17" spans="2:16" ht="19.5" thickBot="1">
      <c r="B17" s="161" t="s">
        <v>419</v>
      </c>
      <c r="C17" s="163" t="s">
        <v>427</v>
      </c>
      <c r="D17" s="79">
        <f>'11_Calcul des t'' avec capital'!D20</f>
        <v>0.010223221360000001</v>
      </c>
      <c r="E17" s="79">
        <f>'11_Calcul des t'' avec capital'!E20</f>
        <v>0.01042624357</v>
      </c>
      <c r="F17" s="79">
        <f>'11_Calcul des t'' avec capital'!F20</f>
        <v>0.01042753456</v>
      </c>
      <c r="G17" s="79">
        <f>'11_Calcul des t'' avec capital'!G20</f>
        <v>0.010801734559999998</v>
      </c>
      <c r="H17" s="79">
        <f>'11_Calcul des t'' avec capital'!H20</f>
        <v>0.010565832</v>
      </c>
      <c r="I17" s="79">
        <f>'11_Calcul des t'' avec capital'!I20</f>
        <v>0.010565832</v>
      </c>
      <c r="J17" s="79">
        <f>'11_Calcul des t'' avec capital'!J20</f>
        <v>0.010565832</v>
      </c>
      <c r="K17" s="79">
        <f>'11_Calcul des t'' avec capital'!K20</f>
        <v>0.008965832</v>
      </c>
      <c r="L17" s="79">
        <f>'11_Calcul des t'' avec capital'!L20</f>
        <v>0.008964896499999998</v>
      </c>
      <c r="M17" s="79">
        <f>'11_Calcul des t'' avec capital'!M20</f>
        <v>0.008964896499999998</v>
      </c>
      <c r="N17" s="79">
        <f>'11_Calcul des t'' avec capital'!N20</f>
        <v>0.004791499999999999</v>
      </c>
      <c r="O17" s="79">
        <f>'11_Calcul des t'' avec capital'!O20</f>
        <v>0.004791499999999999</v>
      </c>
      <c r="P17" s="79">
        <f>'11_Calcul des t'' avec capital'!P20</f>
        <v>0.0028748999999999992</v>
      </c>
    </row>
    <row r="18" spans="2:16" ht="19.5" thickBot="1">
      <c r="B18" s="161" t="s">
        <v>420</v>
      </c>
      <c r="C18" s="163" t="s">
        <v>280</v>
      </c>
      <c r="D18" s="79">
        <f>'11_Calcul des t'' avec capital'!D13</f>
        <v>0.3062462909375444</v>
      </c>
      <c r="E18" s="79">
        <f>'11_Calcul des t'' avec capital'!E13</f>
        <v>0.3110941926014898</v>
      </c>
      <c r="F18" s="79">
        <f>'11_Calcul des t'' avec capital'!F13</f>
        <v>0.3111250074650008</v>
      </c>
      <c r="G18" s="79">
        <f>'11_Calcul des t'' avec capital'!G13</f>
        <v>0.32005031995932515</v>
      </c>
      <c r="H18" s="79">
        <f>'11_Calcul des t'' avec capital'!H13</f>
        <v>0.3156189439332382</v>
      </c>
      <c r="I18" s="79">
        <f>'11_Calcul des t'' avec capital'!I13</f>
        <v>0.3156189439332382</v>
      </c>
      <c r="J18" s="79">
        <f>'11_Calcul des t'' avec capital'!J13</f>
        <v>0.3156189439332382</v>
      </c>
      <c r="K18" s="79">
        <f>'11_Calcul des t'' avec capital'!K13</f>
        <v>0.3028670851358416</v>
      </c>
      <c r="L18" s="79">
        <f>'11_Calcul des t'' avec capital'!L13</f>
        <v>0.3028447454813655</v>
      </c>
      <c r="M18" s="79">
        <f>'11_Calcul des t'' avec capital'!M13</f>
        <v>0.3028447454813655</v>
      </c>
      <c r="N18" s="79">
        <f>'11_Calcul des t'' avec capital'!N13</f>
        <v>0.27158924742398727</v>
      </c>
      <c r="O18" s="79">
        <f>'11_Calcul des t'' avec capital'!O13</f>
        <v>0.27158924742398727</v>
      </c>
      <c r="P18" s="79">
        <f>'11_Calcul des t'' avec capital'!P13</f>
        <v>0.2715980412297803</v>
      </c>
    </row>
    <row r="19" spans="2:16" ht="57" thickBot="1">
      <c r="B19" s="161" t="s">
        <v>424</v>
      </c>
      <c r="C19" s="169" t="s">
        <v>430</v>
      </c>
      <c r="D19" s="43">
        <f>D10+D15-((D16*D17)/(1+D18))</f>
        <v>0.07590714811951782</v>
      </c>
      <c r="E19" s="43">
        <f aca="true" t="shared" si="8" ref="E19:P19">E10+E15-((E16*E17)/(1+E18))</f>
        <v>0.07561739965548514</v>
      </c>
      <c r="F19" s="43">
        <f t="shared" si="8"/>
        <v>0.07561556473331453</v>
      </c>
      <c r="G19" s="43">
        <f t="shared" si="8"/>
        <v>0.07508767775163834</v>
      </c>
      <c r="H19" s="43">
        <f t="shared" si="8"/>
        <v>0.07530260888316954</v>
      </c>
      <c r="I19" s="43">
        <f t="shared" si="8"/>
        <v>0.07530260888316954</v>
      </c>
      <c r="J19" s="43">
        <f t="shared" si="8"/>
        <v>0.07530260888316954</v>
      </c>
      <c r="K19" s="43">
        <f t="shared" si="8"/>
        <v>0.0646557927827435</v>
      </c>
      <c r="L19" s="43">
        <f t="shared" si="8"/>
        <v>0.06465696245823702</v>
      </c>
      <c r="M19" s="43">
        <f t="shared" si="8"/>
        <v>0.06465696245823702</v>
      </c>
      <c r="N19" s="43">
        <f t="shared" si="8"/>
        <v>0.06652519488613934</v>
      </c>
      <c r="O19" s="43">
        <f t="shared" si="8"/>
        <v>0.06652519488613934</v>
      </c>
      <c r="P19" s="43">
        <f t="shared" si="8"/>
        <v>0.06665284999812648</v>
      </c>
    </row>
    <row r="20" spans="2:16" ht="19.5" thickBot="1">
      <c r="B20" s="161" t="s">
        <v>413</v>
      </c>
      <c r="C20" s="170" t="s">
        <v>414</v>
      </c>
      <c r="D20" s="43">
        <f>'11_Calcul des t'' avec capital'!D25</f>
        <v>0.0759071481195178</v>
      </c>
      <c r="E20" s="43">
        <f>'11_Calcul des t'' avec capital'!E25</f>
        <v>0.07561739965548514</v>
      </c>
      <c r="F20" s="43">
        <f>'11_Calcul des t'' avec capital'!F25</f>
        <v>0.07561556473331452</v>
      </c>
      <c r="G20" s="43">
        <f>'11_Calcul des t'' avec capital'!G25</f>
        <v>0.07508767775163833</v>
      </c>
      <c r="H20" s="43">
        <f>'11_Calcul des t'' avec capital'!H25</f>
        <v>0.07530260888316954</v>
      </c>
      <c r="I20" s="43">
        <f>'11_Calcul des t'' avec capital'!I25</f>
        <v>0.07530260888316954</v>
      </c>
      <c r="J20" s="43">
        <f>'11_Calcul des t'' avec capital'!J25</f>
        <v>0.07530260888316954</v>
      </c>
      <c r="K20" s="43">
        <f>'11_Calcul des t'' avec capital'!K25</f>
        <v>0.06465579278274351</v>
      </c>
      <c r="L20" s="43">
        <f>'11_Calcul des t'' avec capital'!L25</f>
        <v>0.06465696245823702</v>
      </c>
      <c r="M20" s="43">
        <f>'11_Calcul des t'' avec capital'!M25</f>
        <v>0.06465696245823702</v>
      </c>
      <c r="N20" s="43">
        <f>'11_Calcul des t'' avec capital'!N25</f>
        <v>0.06652519488613934</v>
      </c>
      <c r="O20" s="43">
        <f>'11_Calcul des t'' avec capital'!O25</f>
        <v>0.06652519488613934</v>
      </c>
      <c r="P20" s="43">
        <f>'11_Calcul des t'' avec capital'!P25</f>
        <v>0.0666528499981265</v>
      </c>
    </row>
    <row r="21" spans="2:16" ht="13.5" thickBot="1">
      <c r="B21" s="161" t="s">
        <v>415</v>
      </c>
      <c r="C21" s="171"/>
      <c r="D21" s="43">
        <f>D19-D20</f>
        <v>0</v>
      </c>
      <c r="E21" s="43">
        <f aca="true" t="shared" si="9" ref="E21:P21">E19-E20</f>
        <v>0</v>
      </c>
      <c r="F21" s="43">
        <f t="shared" si="9"/>
        <v>0</v>
      </c>
      <c r="G21" s="43">
        <f t="shared" si="9"/>
        <v>0</v>
      </c>
      <c r="H21" s="43">
        <f t="shared" si="9"/>
        <v>0</v>
      </c>
      <c r="I21" s="43">
        <f t="shared" si="9"/>
        <v>0</v>
      </c>
      <c r="J21" s="43">
        <f t="shared" si="9"/>
        <v>0</v>
      </c>
      <c r="K21" s="43">
        <f t="shared" si="9"/>
        <v>0</v>
      </c>
      <c r="L21" s="43">
        <f t="shared" si="9"/>
        <v>0</v>
      </c>
      <c r="M21" s="43">
        <f t="shared" si="9"/>
        <v>0</v>
      </c>
      <c r="N21" s="43">
        <f t="shared" si="9"/>
        <v>0</v>
      </c>
      <c r="O21" s="43">
        <f t="shared" si="9"/>
        <v>0</v>
      </c>
      <c r="P21" s="43">
        <f t="shared" si="9"/>
        <v>0</v>
      </c>
    </row>
    <row r="22" spans="2:16" ht="19.5" thickBot="1">
      <c r="B22" s="161" t="s">
        <v>421</v>
      </c>
      <c r="C22" s="167" t="s">
        <v>159</v>
      </c>
      <c r="D22" s="43">
        <f>'11_Calcul des t'' avec capital'!D18</f>
        <v>0.008573221360000001</v>
      </c>
      <c r="E22" s="43">
        <f>'11_Calcul des t'' avec capital'!E18</f>
        <v>0.00877624357</v>
      </c>
      <c r="F22" s="43">
        <f>'11_Calcul des t'' avec capital'!F18</f>
        <v>0.00877753456</v>
      </c>
      <c r="G22" s="43">
        <f>'11_Calcul des t'' avec capital'!G18</f>
        <v>0.009151734559999998</v>
      </c>
      <c r="H22" s="43">
        <f>'11_Calcul des t'' avec capital'!H18</f>
        <v>0.008965832</v>
      </c>
      <c r="I22" s="43">
        <f>'11_Calcul des t'' avec capital'!I18</f>
        <v>0.008965832</v>
      </c>
      <c r="J22" s="43">
        <f>'11_Calcul des t'' avec capital'!J18</f>
        <v>0.008965832</v>
      </c>
      <c r="K22" s="43">
        <f>'11_Calcul des t'' avec capital'!K18</f>
        <v>0.008965832</v>
      </c>
      <c r="L22" s="43">
        <f>'11_Calcul des t'' avec capital'!L18</f>
        <v>0.008964896499999998</v>
      </c>
      <c r="M22" s="43">
        <f>'11_Calcul des t'' avec capital'!M18</f>
        <v>0.008964896499999998</v>
      </c>
      <c r="N22" s="43">
        <f>'11_Calcul des t'' avec capital'!N18</f>
        <v>0.004791499999999999</v>
      </c>
      <c r="O22" s="43">
        <f>'11_Calcul des t'' avec capital'!O18</f>
        <v>0.004791499999999999</v>
      </c>
      <c r="P22" s="43">
        <f>'11_Calcul des t'' avec capital'!P18</f>
        <v>0.0028748999999999992</v>
      </c>
    </row>
    <row r="23" spans="2:16" ht="19.5" thickBot="1">
      <c r="B23" s="161" t="s">
        <v>423</v>
      </c>
      <c r="C23" s="167" t="s">
        <v>422</v>
      </c>
      <c r="D23" s="43">
        <f>'11_Calcul des t'' avec capital'!D12</f>
        <v>0.20824629093754438</v>
      </c>
      <c r="E23" s="43">
        <f>'11_Calcul des t'' avec capital'!E12</f>
        <v>0.2130941926014898</v>
      </c>
      <c r="F23" s="43">
        <f>'11_Calcul des t'' avec capital'!F12</f>
        <v>0.21312500746500085</v>
      </c>
      <c r="G23" s="43">
        <f>'11_Calcul des t'' avec capital'!G12</f>
        <v>0.22205031995932514</v>
      </c>
      <c r="H23" s="43">
        <f>'11_Calcul des t'' avec capital'!H12</f>
        <v>0.21761894393323822</v>
      </c>
      <c r="I23" s="43">
        <f>'11_Calcul des t'' avec capital'!I12</f>
        <v>0.21761894393323822</v>
      </c>
      <c r="J23" s="43">
        <f>'11_Calcul des t'' avec capital'!J12</f>
        <v>0.21761894393323822</v>
      </c>
      <c r="K23" s="43">
        <f>'11_Calcul des t'' avec capital'!K12</f>
        <v>0.21786708513584158</v>
      </c>
      <c r="L23" s="43">
        <f>'11_Calcul des t'' avec capital'!L12</f>
        <v>0.21784474548136548</v>
      </c>
      <c r="M23" s="43">
        <f>'11_Calcul des t'' avec capital'!M12</f>
        <v>0.21784474548136548</v>
      </c>
      <c r="N23" s="43">
        <f>'11_Calcul des t'' avec capital'!N12</f>
        <v>0.18658924742398725</v>
      </c>
      <c r="O23" s="43">
        <f>'11_Calcul des t'' avec capital'!O12</f>
        <v>0.18658924742398725</v>
      </c>
      <c r="P23" s="43">
        <f>'11_Calcul des t'' avec capital'!P12</f>
        <v>0.18659804122978033</v>
      </c>
    </row>
    <row r="24" spans="2:16" ht="57" thickBot="1">
      <c r="B24" s="161" t="s">
        <v>425</v>
      </c>
      <c r="C24" s="163" t="s">
        <v>429</v>
      </c>
      <c r="D24" s="43">
        <f>D11+D22-((D23*D17/(1+D18)))</f>
        <v>0.1663668506609126</v>
      </c>
      <c r="E24" s="43">
        <f aca="true" t="shared" si="10" ref="E24:P24">E11+E22-((E23*E17/(1+E18)))</f>
        <v>0.16961321610487062</v>
      </c>
      <c r="F24" s="43">
        <f t="shared" si="10"/>
        <v>0.16963377472265978</v>
      </c>
      <c r="G24" s="43">
        <f t="shared" si="10"/>
        <v>0.17554826355817454</v>
      </c>
      <c r="H24" s="43">
        <f t="shared" si="10"/>
        <v>0.17262995353346794</v>
      </c>
      <c r="I24" s="43">
        <f t="shared" si="10"/>
        <v>0.17262995353346794</v>
      </c>
      <c r="J24" s="43">
        <f t="shared" si="10"/>
        <v>0.17262995353346794</v>
      </c>
      <c r="K24" s="43">
        <f t="shared" si="10"/>
        <v>0.17468782153792128</v>
      </c>
      <c r="L24" s="43">
        <f t="shared" si="10"/>
        <v>0.17467289097426875</v>
      </c>
      <c r="M24" s="43">
        <f t="shared" si="10"/>
        <v>0.17467289097426875</v>
      </c>
      <c r="N24" s="43">
        <f t="shared" si="10"/>
        <v>0.15082545351222143</v>
      </c>
      <c r="O24" s="43">
        <f t="shared" si="10"/>
        <v>0.15082545351222143</v>
      </c>
      <c r="P24" s="43">
        <f t="shared" si="10"/>
        <v>0.14919597355332667</v>
      </c>
    </row>
    <row r="25" spans="2:16" ht="18" thickBot="1">
      <c r="B25" s="161" t="s">
        <v>413</v>
      </c>
      <c r="C25" s="167" t="s">
        <v>416</v>
      </c>
      <c r="D25" s="43">
        <f>'11_Calcul des t'' avec capital'!D27</f>
        <v>0.16636685066091259</v>
      </c>
      <c r="E25" s="43">
        <f>'11_Calcul des t'' avec capital'!E27</f>
        <v>0.16961321610487062</v>
      </c>
      <c r="F25" s="43">
        <f>'11_Calcul des t'' avec capital'!F27</f>
        <v>0.1696337747226598</v>
      </c>
      <c r="G25" s="43">
        <f>'11_Calcul des t'' avec capital'!G27</f>
        <v>0.17554826355817452</v>
      </c>
      <c r="H25" s="43">
        <f>'11_Calcul des t'' avec capital'!H27</f>
        <v>0.1726299535334679</v>
      </c>
      <c r="I25" s="43">
        <f>'11_Calcul des t'' avec capital'!I27</f>
        <v>0.1726299535334679</v>
      </c>
      <c r="J25" s="43">
        <f>'11_Calcul des t'' avec capital'!J27</f>
        <v>0.1726299535334679</v>
      </c>
      <c r="K25" s="43">
        <f>'11_Calcul des t'' avec capital'!K27</f>
        <v>0.17468782153792126</v>
      </c>
      <c r="L25" s="43">
        <f>'11_Calcul des t'' avec capital'!L27</f>
        <v>0.17467289097426875</v>
      </c>
      <c r="M25" s="43">
        <f>'11_Calcul des t'' avec capital'!M27</f>
        <v>0.17467289097426875</v>
      </c>
      <c r="N25" s="43">
        <f>'11_Calcul des t'' avec capital'!N27</f>
        <v>0.15082545351222146</v>
      </c>
      <c r="O25" s="43">
        <f>'11_Calcul des t'' avec capital'!O27</f>
        <v>0.15082545351222146</v>
      </c>
      <c r="P25" s="43">
        <f>'11_Calcul des t'' avec capital'!P27</f>
        <v>0.14919597355332667</v>
      </c>
    </row>
    <row r="26" spans="2:16" ht="13.5" thickBot="1">
      <c r="B26" s="161" t="s">
        <v>415</v>
      </c>
      <c r="C26" s="171"/>
      <c r="D26" s="43">
        <f>D24-D25</f>
        <v>0</v>
      </c>
      <c r="E26" s="43">
        <f aca="true" t="shared" si="11" ref="E26:P26">E24-E25</f>
        <v>0</v>
      </c>
      <c r="F26" s="43">
        <f t="shared" si="11"/>
        <v>0</v>
      </c>
      <c r="G26" s="43">
        <f t="shared" si="11"/>
        <v>0</v>
      </c>
      <c r="H26" s="43">
        <f t="shared" si="11"/>
        <v>0</v>
      </c>
      <c r="I26" s="43">
        <f t="shared" si="11"/>
        <v>0</v>
      </c>
      <c r="J26" s="43">
        <f t="shared" si="11"/>
        <v>0</v>
      </c>
      <c r="K26" s="43">
        <f t="shared" si="11"/>
        <v>0</v>
      </c>
      <c r="L26" s="43">
        <f t="shared" si="11"/>
        <v>0</v>
      </c>
      <c r="M26" s="43">
        <f t="shared" si="11"/>
        <v>0</v>
      </c>
      <c r="N26" s="43">
        <f t="shared" si="11"/>
        <v>0</v>
      </c>
      <c r="O26" s="43">
        <f t="shared" si="11"/>
        <v>0</v>
      </c>
      <c r="P26" s="43">
        <f t="shared" si="11"/>
        <v>0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/>
  <dimension ref="A1:P21"/>
  <sheetViews>
    <sheetView workbookViewId="0" topLeftCell="J9">
      <selection activeCell="T12" sqref="T12"/>
    </sheetView>
  </sheetViews>
  <sheetFormatPr defaultColWidth="12" defaultRowHeight="11.25"/>
  <cols>
    <col min="2" max="2" width="62.16015625" style="0" customWidth="1"/>
    <col min="3" max="3" width="40" style="0" customWidth="1"/>
    <col min="4" max="4" width="15.5" style="0" customWidth="1"/>
    <col min="5" max="5" width="14" style="0" customWidth="1"/>
    <col min="6" max="6" width="13.66015625" style="0" customWidth="1"/>
    <col min="7" max="7" width="15.16015625" style="0" customWidth="1"/>
    <col min="8" max="8" width="13.83203125" style="0" customWidth="1"/>
    <col min="9" max="9" width="12.83203125" style="0" customWidth="1"/>
    <col min="10" max="10" width="14.16015625" style="0" customWidth="1"/>
    <col min="11" max="11" width="13" style="0" customWidth="1"/>
    <col min="12" max="12" width="15.83203125" style="0" customWidth="1"/>
    <col min="13" max="13" width="13.83203125" style="0" customWidth="1"/>
  </cols>
  <sheetData>
    <row r="1" ht="11.25">
      <c r="A1" s="122" t="s">
        <v>318</v>
      </c>
    </row>
    <row r="3" ht="17.25" customHeight="1" thickBot="1"/>
    <row r="4" spans="2:16" ht="55.5" customHeight="1" thickBot="1">
      <c r="B4" s="6" t="s">
        <v>541</v>
      </c>
      <c r="C4" s="98" t="s">
        <v>204</v>
      </c>
      <c r="D4" s="98">
        <v>1991</v>
      </c>
      <c r="E4" s="98">
        <f>D4+1</f>
        <v>1992</v>
      </c>
      <c r="F4" s="98">
        <f>E4+1</f>
        <v>1993</v>
      </c>
      <c r="G4" s="98">
        <f aca="true" t="shared" si="0" ref="G4:M4">F4+1</f>
        <v>1994</v>
      </c>
      <c r="H4" s="98">
        <f t="shared" si="0"/>
        <v>1995</v>
      </c>
      <c r="I4" s="98">
        <f t="shared" si="0"/>
        <v>1996</v>
      </c>
      <c r="J4" s="98">
        <f t="shared" si="0"/>
        <v>1997</v>
      </c>
      <c r="K4" s="98">
        <f t="shared" si="0"/>
        <v>1998</v>
      </c>
      <c r="L4" s="98">
        <f t="shared" si="0"/>
        <v>1999</v>
      </c>
      <c r="M4" s="98">
        <f t="shared" si="0"/>
        <v>2000</v>
      </c>
      <c r="N4" s="98">
        <f>M4+1</f>
        <v>2001</v>
      </c>
      <c r="O4" s="98">
        <f>N4+1</f>
        <v>2002</v>
      </c>
      <c r="P4" s="98">
        <f>O4+1</f>
        <v>2003</v>
      </c>
    </row>
    <row r="5" spans="2:16" ht="28.5" customHeight="1" thickBot="1">
      <c r="B5" s="48" t="s">
        <v>210</v>
      </c>
      <c r="C5" s="63" t="s">
        <v>90</v>
      </c>
      <c r="D5" s="54">
        <v>1000000</v>
      </c>
      <c r="E5" s="54">
        <v>1000000</v>
      </c>
      <c r="F5" s="54">
        <v>1000000</v>
      </c>
      <c r="G5" s="54">
        <v>1000000</v>
      </c>
      <c r="H5" s="54">
        <v>1000000</v>
      </c>
      <c r="I5" s="54">
        <v>1000000</v>
      </c>
      <c r="J5" s="54">
        <v>1000000</v>
      </c>
      <c r="K5" s="54">
        <v>1000000</v>
      </c>
      <c r="L5" s="54">
        <v>1000000</v>
      </c>
      <c r="M5" s="54">
        <v>1000000</v>
      </c>
      <c r="N5" s="54">
        <v>1000000</v>
      </c>
      <c r="O5" s="54">
        <v>1000000</v>
      </c>
      <c r="P5" s="54">
        <v>1000000</v>
      </c>
    </row>
    <row r="6" spans="2:16" ht="21" customHeight="1" thickBot="1">
      <c r="B6" s="48" t="s">
        <v>211</v>
      </c>
      <c r="C6" s="63" t="s">
        <v>91</v>
      </c>
      <c r="D6" s="54">
        <v>2000000</v>
      </c>
      <c r="E6" s="54">
        <v>2000000</v>
      </c>
      <c r="F6" s="54">
        <v>2000000</v>
      </c>
      <c r="G6" s="54">
        <v>2000000</v>
      </c>
      <c r="H6" s="54">
        <v>2000000</v>
      </c>
      <c r="I6" s="54">
        <v>2000000</v>
      </c>
      <c r="J6" s="54">
        <v>2000000</v>
      </c>
      <c r="K6" s="54">
        <v>2000000</v>
      </c>
      <c r="L6" s="54">
        <v>2000000</v>
      </c>
      <c r="M6" s="54">
        <v>2000000</v>
      </c>
      <c r="N6" s="54">
        <v>2000000</v>
      </c>
      <c r="O6" s="54">
        <v>2000000</v>
      </c>
      <c r="P6" s="54">
        <v>2000000</v>
      </c>
    </row>
    <row r="7" spans="2:16" ht="26.25" customHeight="1" thickBot="1">
      <c r="B7" s="64" t="s">
        <v>114</v>
      </c>
      <c r="C7" s="65" t="s">
        <v>115</v>
      </c>
      <c r="D7" s="55">
        <f>D5/D6</f>
        <v>0.5</v>
      </c>
      <c r="E7" s="55">
        <f aca="true" t="shared" si="1" ref="E7:L7">E5/E6</f>
        <v>0.5</v>
      </c>
      <c r="F7" s="55">
        <f t="shared" si="1"/>
        <v>0.5</v>
      </c>
      <c r="G7" s="55">
        <f t="shared" si="1"/>
        <v>0.5</v>
      </c>
      <c r="H7" s="55">
        <f t="shared" si="1"/>
        <v>0.5</v>
      </c>
      <c r="I7" s="55">
        <f t="shared" si="1"/>
        <v>0.5</v>
      </c>
      <c r="J7" s="55">
        <f t="shared" si="1"/>
        <v>0.5</v>
      </c>
      <c r="K7" s="55">
        <f t="shared" si="1"/>
        <v>0.5</v>
      </c>
      <c r="L7" s="55">
        <f t="shared" si="1"/>
        <v>0.5</v>
      </c>
      <c r="M7" s="55">
        <f>M5/M6</f>
        <v>0.5</v>
      </c>
      <c r="N7" s="55">
        <f>N5/N6</f>
        <v>0.5</v>
      </c>
      <c r="O7" s="55">
        <f>O5/O6</f>
        <v>0.5</v>
      </c>
      <c r="P7" s="55">
        <f>P5/P6</f>
        <v>0.5</v>
      </c>
    </row>
    <row r="8" spans="2:16" ht="24.75" customHeight="1" thickBot="1">
      <c r="B8" s="64" t="s">
        <v>116</v>
      </c>
      <c r="C8" s="65" t="s">
        <v>117</v>
      </c>
      <c r="D8" s="56">
        <f>1/D7</f>
        <v>2</v>
      </c>
      <c r="E8" s="56">
        <f aca="true" t="shared" si="2" ref="E8:L8">1/E7</f>
        <v>2</v>
      </c>
      <c r="F8" s="56">
        <f t="shared" si="2"/>
        <v>2</v>
      </c>
      <c r="G8" s="56">
        <f t="shared" si="2"/>
        <v>2</v>
      </c>
      <c r="H8" s="56">
        <f t="shared" si="2"/>
        <v>2</v>
      </c>
      <c r="I8" s="56">
        <f t="shared" si="2"/>
        <v>2</v>
      </c>
      <c r="J8" s="56">
        <f t="shared" si="2"/>
        <v>2</v>
      </c>
      <c r="K8" s="56">
        <f t="shared" si="2"/>
        <v>2</v>
      </c>
      <c r="L8" s="56">
        <f t="shared" si="2"/>
        <v>2</v>
      </c>
      <c r="M8" s="56">
        <f>1/M7</f>
        <v>2</v>
      </c>
      <c r="N8" s="56">
        <f>1/N7</f>
        <v>2</v>
      </c>
      <c r="O8" s="56">
        <f>1/O7</f>
        <v>2</v>
      </c>
      <c r="P8" s="56">
        <f>1/P7</f>
        <v>2</v>
      </c>
    </row>
    <row r="9" spans="2:16" ht="24" customHeight="1" thickBot="1">
      <c r="B9" s="45" t="s">
        <v>155</v>
      </c>
      <c r="C9" s="66" t="s">
        <v>148</v>
      </c>
      <c r="D9" s="101">
        <f>'18_ Données taux bénéfice'!D4</f>
        <v>0.098</v>
      </c>
      <c r="E9" s="101">
        <f>'18_ Données taux bénéfice'!E4</f>
        <v>0.098</v>
      </c>
      <c r="F9" s="101">
        <f>'18_ Données taux bénéfice'!F4</f>
        <v>0.098</v>
      </c>
      <c r="G9" s="101">
        <f>'18_ Données taux bénéfice'!G4</f>
        <v>0.098</v>
      </c>
      <c r="H9" s="101">
        <f>'18_ Données taux bénéfice'!H4</f>
        <v>0.098</v>
      </c>
      <c r="I9" s="101">
        <f>'18_ Données taux bénéfice'!I4</f>
        <v>0.098</v>
      </c>
      <c r="J9" s="101">
        <f>'18_ Données taux bénéfice'!J4</f>
        <v>0.098</v>
      </c>
      <c r="K9" s="101">
        <f>'18_ Données taux bénéfice'!K4</f>
        <v>0.085</v>
      </c>
      <c r="L9" s="101">
        <f>'18_ Données taux bénéfice'!L4</f>
        <v>0.085</v>
      </c>
      <c r="M9" s="101">
        <f>'18_ Données taux bénéfice'!M4</f>
        <v>0.085</v>
      </c>
      <c r="N9" s="101">
        <f>'18_ Données taux bénéfice'!N4</f>
        <v>0.085</v>
      </c>
      <c r="O9" s="101">
        <f>'18_ Données taux bénéfice'!O4</f>
        <v>0.085</v>
      </c>
      <c r="P9" s="102">
        <f>'18_ Données taux bénéfice'!P4</f>
        <v>0.085</v>
      </c>
    </row>
    <row r="10" spans="2:16" ht="27" customHeight="1" thickBot="1">
      <c r="B10" s="45" t="s">
        <v>130</v>
      </c>
      <c r="C10" s="66" t="s">
        <v>149</v>
      </c>
      <c r="D10" s="101">
        <f>'18_ Données taux bénéfice'!D7</f>
        <v>0.0454471888667232</v>
      </c>
      <c r="E10" s="101">
        <f>'18_ Données taux bénéfice'!E7</f>
        <v>0.04542937205164503</v>
      </c>
      <c r="F10" s="101">
        <f>'18_ Données taux bénéfice'!F7</f>
        <v>0.045429258778904386</v>
      </c>
      <c r="G10" s="101">
        <f>'18_ Données taux bénéfice'!G7</f>
        <v>0.04539643779221427</v>
      </c>
      <c r="H10" s="101">
        <f>'18_ Données taux bénéfice'!H7</f>
        <v>0.04541296826653552</v>
      </c>
      <c r="I10" s="101">
        <f>'18_ Données taux bénéfice'!I7</f>
        <v>0.04541296826653552</v>
      </c>
      <c r="J10" s="101">
        <f>'18_ Données taux bénéfice'!J7</f>
        <v>0.04541296826653552</v>
      </c>
      <c r="K10" s="101">
        <f>'18_ Données taux bénéfice'!K7</f>
        <v>0.045464750654390984</v>
      </c>
      <c r="L10" s="101">
        <f>'18_ Données taux bénéfice'!L7</f>
        <v>0.04546483261637598</v>
      </c>
      <c r="M10" s="101">
        <f>'18_ Données taux bénéfice'!M7</f>
        <v>0.04546483261637598</v>
      </c>
      <c r="N10" s="101">
        <f>'18_ Données taux bénéfice'!N7</f>
        <v>0.03894171917436863</v>
      </c>
      <c r="O10" s="101">
        <f>'18_ Données taux bénéfice'!O7</f>
        <v>0.03894171917436863</v>
      </c>
      <c r="P10" s="102">
        <f>'18_ Données taux bénéfice'!P7</f>
        <v>0.03894355446723998</v>
      </c>
    </row>
    <row r="11" spans="2:16" ht="27.75" customHeight="1" thickBot="1">
      <c r="B11" s="45" t="s">
        <v>131</v>
      </c>
      <c r="C11" s="66" t="s">
        <v>199</v>
      </c>
      <c r="D11" s="103">
        <f>'16_Multiplicateurs '!D7</f>
        <v>4.58216</v>
      </c>
      <c r="E11" s="103">
        <f>'16_Multiplicateurs '!E7</f>
        <v>4.69067</v>
      </c>
      <c r="F11" s="103">
        <f>'16_Multiplicateurs '!F7</f>
        <v>4.6913599999999995</v>
      </c>
      <c r="G11" s="103">
        <f>'16_Multiplicateurs '!G7</f>
        <v>4.891359999999999</v>
      </c>
      <c r="H11" s="103">
        <f>'16_Multiplicateurs '!H7</f>
        <v>4.792</v>
      </c>
      <c r="I11" s="103">
        <f>'16_Multiplicateurs '!I7</f>
        <v>4.792</v>
      </c>
      <c r="J11" s="103">
        <f>'16_Multiplicateurs '!J7</f>
        <v>4.792</v>
      </c>
      <c r="K11" s="103">
        <f>'16_Multiplicateurs '!K7</f>
        <v>4.792</v>
      </c>
      <c r="L11" s="103">
        <f>'16_Multiplicateurs '!L7</f>
        <v>4.791499999999999</v>
      </c>
      <c r="M11" s="103">
        <f>'16_Multiplicateurs '!M7</f>
        <v>4.791499999999999</v>
      </c>
      <c r="N11" s="103">
        <f>'16_Multiplicateurs '!N7</f>
        <v>4.791499999999999</v>
      </c>
      <c r="O11" s="103">
        <f>'16_Multiplicateurs '!O7</f>
        <v>4.791499999999999</v>
      </c>
      <c r="P11" s="104">
        <f>'16_Multiplicateurs '!P7</f>
        <v>4.791499999999999</v>
      </c>
    </row>
    <row r="12" spans="2:16" ht="31.5" customHeight="1" thickBot="1">
      <c r="B12" s="45" t="s">
        <v>132</v>
      </c>
      <c r="C12" s="66" t="s">
        <v>150</v>
      </c>
      <c r="D12" s="105">
        <f>D10*D11</f>
        <v>0.20824629093754438</v>
      </c>
      <c r="E12" s="105">
        <f aca="true" t="shared" si="3" ref="E12:K12">E10*E11</f>
        <v>0.2130941926014898</v>
      </c>
      <c r="F12" s="105">
        <f t="shared" si="3"/>
        <v>0.21312500746500085</v>
      </c>
      <c r="G12" s="105">
        <f t="shared" si="3"/>
        <v>0.22205031995932514</v>
      </c>
      <c r="H12" s="105">
        <f t="shared" si="3"/>
        <v>0.21761894393323822</v>
      </c>
      <c r="I12" s="105">
        <f t="shared" si="3"/>
        <v>0.21761894393323822</v>
      </c>
      <c r="J12" s="105">
        <f t="shared" si="3"/>
        <v>0.21761894393323822</v>
      </c>
      <c r="K12" s="105">
        <f t="shared" si="3"/>
        <v>0.21786708513584158</v>
      </c>
      <c r="L12" s="105">
        <f>L10*L11</f>
        <v>0.21784474548136548</v>
      </c>
      <c r="M12" s="105">
        <f>M10*M11</f>
        <v>0.21784474548136548</v>
      </c>
      <c r="N12" s="105">
        <f>N10*N11</f>
        <v>0.18658924742398725</v>
      </c>
      <c r="O12" s="105">
        <f>O10*O11</f>
        <v>0.18658924742398725</v>
      </c>
      <c r="P12" s="107">
        <f>P10*P11</f>
        <v>0.18659804122978033</v>
      </c>
    </row>
    <row r="13" spans="2:16" ht="24" customHeight="1" thickBot="1">
      <c r="B13" s="53" t="s">
        <v>133</v>
      </c>
      <c r="C13" s="67" t="s">
        <v>151</v>
      </c>
      <c r="D13" s="106">
        <f aca="true" t="shared" si="4" ref="D13:P13">D9+D12</f>
        <v>0.3062462909375444</v>
      </c>
      <c r="E13" s="106">
        <f t="shared" si="4"/>
        <v>0.3110941926014898</v>
      </c>
      <c r="F13" s="106">
        <f t="shared" si="4"/>
        <v>0.3111250074650008</v>
      </c>
      <c r="G13" s="106">
        <f t="shared" si="4"/>
        <v>0.32005031995932515</v>
      </c>
      <c r="H13" s="106">
        <f t="shared" si="4"/>
        <v>0.3156189439332382</v>
      </c>
      <c r="I13" s="106">
        <f t="shared" si="4"/>
        <v>0.3156189439332382</v>
      </c>
      <c r="J13" s="106">
        <f t="shared" si="4"/>
        <v>0.3156189439332382</v>
      </c>
      <c r="K13" s="106">
        <f t="shared" si="4"/>
        <v>0.3028670851358416</v>
      </c>
      <c r="L13" s="106">
        <f t="shared" si="4"/>
        <v>0.3028447454813655</v>
      </c>
      <c r="M13" s="106">
        <f t="shared" si="4"/>
        <v>0.3028447454813655</v>
      </c>
      <c r="N13" s="106">
        <f t="shared" si="4"/>
        <v>0.27158924742398727</v>
      </c>
      <c r="O13" s="106">
        <f t="shared" si="4"/>
        <v>0.27158924742398727</v>
      </c>
      <c r="P13" s="219">
        <f t="shared" si="4"/>
        <v>0.2715980412297803</v>
      </c>
    </row>
    <row r="14" spans="2:16" ht="24" customHeight="1" thickBot="1">
      <c r="B14" s="12" t="s">
        <v>161</v>
      </c>
      <c r="C14" s="58" t="s">
        <v>207</v>
      </c>
      <c r="D14" s="108">
        <f>'19_Données taux capital'!D4</f>
        <v>0.000825</v>
      </c>
      <c r="E14" s="108">
        <f>'19_Données taux capital'!E4</f>
        <v>0.000825</v>
      </c>
      <c r="F14" s="108">
        <f>'19_Données taux capital'!F4</f>
        <v>0.000825</v>
      </c>
      <c r="G14" s="108">
        <f>'19_Données taux capital'!G4</f>
        <v>0.000825</v>
      </c>
      <c r="H14" s="108">
        <f>'19_Données taux capital'!H4</f>
        <v>0.0008</v>
      </c>
      <c r="I14" s="108">
        <f>'19_Données taux capital'!I4</f>
        <v>0.0008</v>
      </c>
      <c r="J14" s="108">
        <f>'19_Données taux capital'!J4</f>
        <v>0.0008</v>
      </c>
      <c r="K14" s="108">
        <f>'19_Données taux capital'!K4</f>
        <v>0</v>
      </c>
      <c r="L14" s="108">
        <f>'19_Données taux capital'!L4</f>
        <v>0</v>
      </c>
      <c r="M14" s="108">
        <f>'19_Données taux capital'!M4</f>
        <v>0</v>
      </c>
      <c r="N14" s="108">
        <f>'19_Données taux capital'!N4</f>
        <v>0</v>
      </c>
      <c r="O14" s="108">
        <f>'19_Données taux capital'!O4</f>
        <v>0</v>
      </c>
      <c r="P14" s="108">
        <f>'19_Données taux capital'!P4</f>
        <v>0</v>
      </c>
    </row>
    <row r="15" spans="2:16" ht="24" customHeight="1" thickBot="1">
      <c r="B15" s="14" t="s">
        <v>68</v>
      </c>
      <c r="C15" s="58" t="s">
        <v>154</v>
      </c>
      <c r="D15" s="13">
        <f aca="true" t="shared" si="5" ref="D15:P15">D14*D8</f>
        <v>0.00165</v>
      </c>
      <c r="E15" s="13">
        <f t="shared" si="5"/>
        <v>0.00165</v>
      </c>
      <c r="F15" s="13">
        <f t="shared" si="5"/>
        <v>0.00165</v>
      </c>
      <c r="G15" s="13">
        <f t="shared" si="5"/>
        <v>0.00165</v>
      </c>
      <c r="H15" s="13">
        <f t="shared" si="5"/>
        <v>0.0016</v>
      </c>
      <c r="I15" s="13">
        <f t="shared" si="5"/>
        <v>0.0016</v>
      </c>
      <c r="J15" s="13">
        <f t="shared" si="5"/>
        <v>0.0016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</row>
    <row r="16" spans="2:16" ht="24" customHeight="1" thickBot="1">
      <c r="B16" s="12" t="s">
        <v>162</v>
      </c>
      <c r="C16" s="68" t="s">
        <v>71</v>
      </c>
      <c r="D16" s="109">
        <f>'19_Données taux capital'!D5</f>
        <v>0.0009355</v>
      </c>
      <c r="E16" s="109">
        <f>'19_Données taux capital'!E5</f>
        <v>0.0009355</v>
      </c>
      <c r="F16" s="109">
        <f>'19_Données taux capital'!F5</f>
        <v>0.0009355</v>
      </c>
      <c r="G16" s="109">
        <f>'19_Données taux capital'!G5</f>
        <v>0.0009355</v>
      </c>
      <c r="H16" s="109">
        <f>'19_Données taux capital'!H5</f>
        <v>0.0009355</v>
      </c>
      <c r="I16" s="109">
        <f>'19_Données taux capital'!I5</f>
        <v>0.0009355</v>
      </c>
      <c r="J16" s="109">
        <f>'19_Données taux capital'!J5</f>
        <v>0.0009355</v>
      </c>
      <c r="K16" s="109">
        <f>'19_Données taux capital'!K5</f>
        <v>0.0009355</v>
      </c>
      <c r="L16" s="109">
        <f>'19_Données taux capital'!L5</f>
        <v>0.0009355</v>
      </c>
      <c r="M16" s="109">
        <f>'19_Données taux capital'!M5</f>
        <v>0.0009355</v>
      </c>
      <c r="N16" s="109">
        <f>'19_Données taux capital'!N5</f>
        <v>0.0005</v>
      </c>
      <c r="O16" s="109">
        <f>'19_Données taux capital'!O5</f>
        <v>0.0005</v>
      </c>
      <c r="P16" s="110">
        <f>'19_Données taux capital'!P5</f>
        <v>0.0003</v>
      </c>
    </row>
    <row r="17" spans="2:16" ht="24" customHeight="1" thickBot="1">
      <c r="B17" s="12" t="s">
        <v>72</v>
      </c>
      <c r="C17" s="68" t="s">
        <v>208</v>
      </c>
      <c r="D17" s="13">
        <f aca="true" t="shared" si="6" ref="D17:P17">D16*D11</f>
        <v>0.0042866106800000005</v>
      </c>
      <c r="E17" s="13">
        <f t="shared" si="6"/>
        <v>0.004388121785</v>
      </c>
      <c r="F17" s="13">
        <f t="shared" si="6"/>
        <v>0.00438876728</v>
      </c>
      <c r="G17" s="13">
        <f t="shared" si="6"/>
        <v>0.004575867279999999</v>
      </c>
      <c r="H17" s="13">
        <f t="shared" si="6"/>
        <v>0.004482916</v>
      </c>
      <c r="I17" s="13">
        <f t="shared" si="6"/>
        <v>0.004482916</v>
      </c>
      <c r="J17" s="13">
        <f t="shared" si="6"/>
        <v>0.004482916</v>
      </c>
      <c r="K17" s="13">
        <f t="shared" si="6"/>
        <v>0.004482916</v>
      </c>
      <c r="L17" s="13">
        <f t="shared" si="6"/>
        <v>0.004482448249999999</v>
      </c>
      <c r="M17" s="13">
        <f t="shared" si="6"/>
        <v>0.004482448249999999</v>
      </c>
      <c r="N17" s="13">
        <f t="shared" si="6"/>
        <v>0.0023957499999999994</v>
      </c>
      <c r="O17" s="13">
        <f t="shared" si="6"/>
        <v>0.0023957499999999994</v>
      </c>
      <c r="P17" s="13">
        <f t="shared" si="6"/>
        <v>0.0014374499999999996</v>
      </c>
    </row>
    <row r="18" spans="2:16" ht="24" customHeight="1" thickBot="1">
      <c r="B18" s="12" t="s">
        <v>73</v>
      </c>
      <c r="C18" s="58" t="s">
        <v>81</v>
      </c>
      <c r="D18" s="13">
        <f aca="true" t="shared" si="7" ref="D18:P18">D16*D8*D11</f>
        <v>0.008573221360000001</v>
      </c>
      <c r="E18" s="13">
        <f t="shared" si="7"/>
        <v>0.00877624357</v>
      </c>
      <c r="F18" s="13">
        <f t="shared" si="7"/>
        <v>0.00877753456</v>
      </c>
      <c r="G18" s="13">
        <f t="shared" si="7"/>
        <v>0.009151734559999998</v>
      </c>
      <c r="H18" s="13">
        <f t="shared" si="7"/>
        <v>0.008965832</v>
      </c>
      <c r="I18" s="13">
        <f t="shared" si="7"/>
        <v>0.008965832</v>
      </c>
      <c r="J18" s="13">
        <f t="shared" si="7"/>
        <v>0.008965832</v>
      </c>
      <c r="K18" s="13">
        <f t="shared" si="7"/>
        <v>0.008965832</v>
      </c>
      <c r="L18" s="13">
        <f t="shared" si="7"/>
        <v>0.008964896499999998</v>
      </c>
      <c r="M18" s="13">
        <f t="shared" si="7"/>
        <v>0.008964896499999998</v>
      </c>
      <c r="N18" s="13">
        <f t="shared" si="7"/>
        <v>0.004791499999999999</v>
      </c>
      <c r="O18" s="13">
        <f t="shared" si="7"/>
        <v>0.004791499999999999</v>
      </c>
      <c r="P18" s="13">
        <f t="shared" si="7"/>
        <v>0.0028748999999999992</v>
      </c>
    </row>
    <row r="19" spans="2:16" ht="24" customHeight="1" thickBot="1">
      <c r="B19" s="53" t="s">
        <v>165</v>
      </c>
      <c r="C19" s="60" t="s">
        <v>209</v>
      </c>
      <c r="D19" s="59">
        <f aca="true" t="shared" si="8" ref="D19:P19">D17+D14</f>
        <v>0.005111610680000001</v>
      </c>
      <c r="E19" s="59">
        <f t="shared" si="8"/>
        <v>0.005213121785</v>
      </c>
      <c r="F19" s="59">
        <f t="shared" si="8"/>
        <v>0.00521376728</v>
      </c>
      <c r="G19" s="59">
        <f t="shared" si="8"/>
        <v>0.005400867279999999</v>
      </c>
      <c r="H19" s="59">
        <f t="shared" si="8"/>
        <v>0.005282916</v>
      </c>
      <c r="I19" s="59">
        <f t="shared" si="8"/>
        <v>0.005282916</v>
      </c>
      <c r="J19" s="59">
        <f t="shared" si="8"/>
        <v>0.005282916</v>
      </c>
      <c r="K19" s="59">
        <f t="shared" si="8"/>
        <v>0.004482916</v>
      </c>
      <c r="L19" s="59">
        <f t="shared" si="8"/>
        <v>0.004482448249999999</v>
      </c>
      <c r="M19" s="59">
        <f t="shared" si="8"/>
        <v>0.004482448249999999</v>
      </c>
      <c r="N19" s="59">
        <f t="shared" si="8"/>
        <v>0.0023957499999999994</v>
      </c>
      <c r="O19" s="59">
        <f t="shared" si="8"/>
        <v>0.0023957499999999994</v>
      </c>
      <c r="P19" s="59">
        <f t="shared" si="8"/>
        <v>0.0014374499999999996</v>
      </c>
    </row>
    <row r="20" spans="2:16" ht="24" customHeight="1" thickBot="1">
      <c r="B20" s="53" t="s">
        <v>74</v>
      </c>
      <c r="C20" s="60" t="s">
        <v>156</v>
      </c>
      <c r="D20" s="59">
        <f aca="true" t="shared" si="9" ref="D20:P20">D15+D18</f>
        <v>0.010223221360000001</v>
      </c>
      <c r="E20" s="59">
        <f t="shared" si="9"/>
        <v>0.01042624357</v>
      </c>
      <c r="F20" s="59">
        <f t="shared" si="9"/>
        <v>0.01042753456</v>
      </c>
      <c r="G20" s="59">
        <f t="shared" si="9"/>
        <v>0.010801734559999998</v>
      </c>
      <c r="H20" s="59">
        <f t="shared" si="9"/>
        <v>0.010565832</v>
      </c>
      <c r="I20" s="59">
        <f t="shared" si="9"/>
        <v>0.010565832</v>
      </c>
      <c r="J20" s="59">
        <f t="shared" si="9"/>
        <v>0.010565832</v>
      </c>
      <c r="K20" s="59">
        <f t="shared" si="9"/>
        <v>0.008965832</v>
      </c>
      <c r="L20" s="59">
        <f t="shared" si="9"/>
        <v>0.008964896499999998</v>
      </c>
      <c r="M20" s="59">
        <f t="shared" si="9"/>
        <v>0.008964896499999998</v>
      </c>
      <c r="N20" s="59">
        <f t="shared" si="9"/>
        <v>0.004791499999999999</v>
      </c>
      <c r="O20" s="59">
        <f t="shared" si="9"/>
        <v>0.004791499999999999</v>
      </c>
      <c r="P20" s="59">
        <f t="shared" si="9"/>
        <v>0.0028748999999999992</v>
      </c>
    </row>
    <row r="21" spans="2:16" ht="24" customHeight="1" thickBot="1">
      <c r="B21" s="61" t="s">
        <v>83</v>
      </c>
      <c r="C21" s="62" t="s">
        <v>157</v>
      </c>
      <c r="D21" s="59">
        <f aca="true" t="shared" si="10" ref="D21:P21">D13+D20</f>
        <v>0.3164695122975444</v>
      </c>
      <c r="E21" s="59">
        <f t="shared" si="10"/>
        <v>0.3215204361714898</v>
      </c>
      <c r="F21" s="59">
        <f t="shared" si="10"/>
        <v>0.32155254202500083</v>
      </c>
      <c r="G21" s="59">
        <f t="shared" si="10"/>
        <v>0.33085205451932514</v>
      </c>
      <c r="H21" s="59">
        <f t="shared" si="10"/>
        <v>0.3261847759332382</v>
      </c>
      <c r="I21" s="59">
        <f t="shared" si="10"/>
        <v>0.3261847759332382</v>
      </c>
      <c r="J21" s="59">
        <f t="shared" si="10"/>
        <v>0.3261847759332382</v>
      </c>
      <c r="K21" s="59">
        <f t="shared" si="10"/>
        <v>0.3118329171358416</v>
      </c>
      <c r="L21" s="59">
        <f t="shared" si="10"/>
        <v>0.31180964198136546</v>
      </c>
      <c r="M21" s="59">
        <f t="shared" si="10"/>
        <v>0.31180964198136546</v>
      </c>
      <c r="N21" s="59">
        <f t="shared" si="10"/>
        <v>0.27638074742398727</v>
      </c>
      <c r="O21" s="59">
        <f t="shared" si="10"/>
        <v>0.27638074742398727</v>
      </c>
      <c r="P21" s="59">
        <f t="shared" si="10"/>
        <v>0.27447294122978033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P8"/>
  <sheetViews>
    <sheetView workbookViewId="0" topLeftCell="J1">
      <selection activeCell="R7" sqref="R7"/>
    </sheetView>
  </sheetViews>
  <sheetFormatPr defaultColWidth="12" defaultRowHeight="11.25"/>
  <cols>
    <col min="1" max="1" width="8.83203125" style="0" customWidth="1"/>
    <col min="2" max="2" width="62.16015625" style="0" customWidth="1"/>
    <col min="3" max="3" width="19.5" style="0" customWidth="1"/>
    <col min="4" max="4" width="12.16015625" style="0" customWidth="1"/>
    <col min="5" max="6" width="9.16015625" style="0" customWidth="1"/>
    <col min="7" max="7" width="9.83203125" style="0" customWidth="1"/>
    <col min="8" max="8" width="9.16015625" style="0" customWidth="1"/>
    <col min="9" max="9" width="11" style="0" customWidth="1"/>
    <col min="10" max="10" width="8.66015625" style="0" customWidth="1"/>
    <col min="11" max="11" width="13" style="0" customWidth="1"/>
    <col min="12" max="12" width="11.16015625" style="0" customWidth="1"/>
    <col min="13" max="13" width="11" style="0" customWidth="1"/>
  </cols>
  <sheetData>
    <row r="1" ht="11.25">
      <c r="A1" s="122" t="s">
        <v>318</v>
      </c>
    </row>
    <row r="2" ht="12" thickBot="1"/>
    <row r="3" spans="2:16" ht="26.25" thickBot="1">
      <c r="B3" s="6" t="s">
        <v>542</v>
      </c>
      <c r="C3" s="44" t="s">
        <v>62</v>
      </c>
      <c r="D3" s="1">
        <v>1991</v>
      </c>
      <c r="E3" s="1">
        <f>D3+1</f>
        <v>1992</v>
      </c>
      <c r="F3" s="1">
        <f aca="true" t="shared" si="0" ref="F3:P3">E3+1</f>
        <v>1993</v>
      </c>
      <c r="G3" s="1">
        <f t="shared" si="0"/>
        <v>1994</v>
      </c>
      <c r="H3" s="1">
        <f t="shared" si="0"/>
        <v>1995</v>
      </c>
      <c r="I3" s="1">
        <f t="shared" si="0"/>
        <v>1996</v>
      </c>
      <c r="J3" s="1">
        <f t="shared" si="0"/>
        <v>1997</v>
      </c>
      <c r="K3" s="1">
        <f t="shared" si="0"/>
        <v>1998</v>
      </c>
      <c r="L3" s="1">
        <f t="shared" si="0"/>
        <v>1999</v>
      </c>
      <c r="M3" s="1">
        <f t="shared" si="0"/>
        <v>2000</v>
      </c>
      <c r="N3" s="1">
        <f t="shared" si="0"/>
        <v>2001</v>
      </c>
      <c r="O3" s="1">
        <f t="shared" si="0"/>
        <v>2002</v>
      </c>
      <c r="P3" s="1">
        <f t="shared" si="0"/>
        <v>2003</v>
      </c>
    </row>
    <row r="4" spans="2:16" ht="27.75" customHeight="1" thickBot="1">
      <c r="B4" s="12" t="s">
        <v>245</v>
      </c>
      <c r="C4" s="68" t="s">
        <v>149</v>
      </c>
      <c r="D4" s="3">
        <f>'18_ Données taux bénéfice'!D7</f>
        <v>0.0454471888667232</v>
      </c>
      <c r="E4" s="3">
        <f>'18_ Données taux bénéfice'!E7</f>
        <v>0.04542937205164503</v>
      </c>
      <c r="F4" s="3">
        <f>'18_ Données taux bénéfice'!F7</f>
        <v>0.045429258778904386</v>
      </c>
      <c r="G4" s="3">
        <f>'18_ Données taux bénéfice'!G7</f>
        <v>0.04539643779221427</v>
      </c>
      <c r="H4" s="3">
        <f>'18_ Données taux bénéfice'!H7</f>
        <v>0.04541296826653552</v>
      </c>
      <c r="I4" s="3">
        <f>'18_ Données taux bénéfice'!I7</f>
        <v>0.04541296826653552</v>
      </c>
      <c r="J4" s="3">
        <f>'18_ Données taux bénéfice'!J7</f>
        <v>0.04541296826653552</v>
      </c>
      <c r="K4" s="3">
        <f>'18_ Données taux bénéfice'!K7</f>
        <v>0.045464750654390984</v>
      </c>
      <c r="L4" s="3">
        <f>'18_ Données taux bénéfice'!L7</f>
        <v>0.04546483261637598</v>
      </c>
      <c r="M4" s="3">
        <f>'18_ Données taux bénéfice'!M7</f>
        <v>0.04546483261637598</v>
      </c>
      <c r="N4" s="3">
        <f>'18_ Données taux bénéfice'!N7</f>
        <v>0.03894171917436863</v>
      </c>
      <c r="O4" s="3">
        <f>'18_ Données taux bénéfice'!O7</f>
        <v>0.03894171917436863</v>
      </c>
      <c r="P4" s="3">
        <f>'18_ Données taux bénéfice'!P7</f>
        <v>0.03894355446723998</v>
      </c>
    </row>
    <row r="5" spans="2:16" ht="31.5" customHeight="1" thickBot="1">
      <c r="B5" s="12" t="s">
        <v>241</v>
      </c>
      <c r="C5" s="68" t="s">
        <v>199</v>
      </c>
      <c r="D5" s="8">
        <f>'16_Multiplicateurs '!D7</f>
        <v>4.58216</v>
      </c>
      <c r="E5" s="8">
        <f>'16_Multiplicateurs '!E7</f>
        <v>4.69067</v>
      </c>
      <c r="F5" s="8">
        <f>'16_Multiplicateurs '!F7</f>
        <v>4.6913599999999995</v>
      </c>
      <c r="G5" s="8">
        <f>'16_Multiplicateurs '!G7</f>
        <v>4.891359999999999</v>
      </c>
      <c r="H5" s="8">
        <f>'16_Multiplicateurs '!H7</f>
        <v>4.792</v>
      </c>
      <c r="I5" s="8">
        <f>'16_Multiplicateurs '!I7</f>
        <v>4.792</v>
      </c>
      <c r="J5" s="8">
        <f>'16_Multiplicateurs '!J7</f>
        <v>4.792</v>
      </c>
      <c r="K5" s="8">
        <f>'16_Multiplicateurs '!K7</f>
        <v>4.792</v>
      </c>
      <c r="L5" s="8">
        <f>'16_Multiplicateurs '!L7</f>
        <v>4.791499999999999</v>
      </c>
      <c r="M5" s="8">
        <f>'16_Multiplicateurs '!M7</f>
        <v>4.791499999999999</v>
      </c>
      <c r="N5" s="8">
        <f>'16_Multiplicateurs '!N7</f>
        <v>4.791499999999999</v>
      </c>
      <c r="O5" s="8">
        <f>'16_Multiplicateurs '!O7</f>
        <v>4.791499999999999</v>
      </c>
      <c r="P5" s="8">
        <f>'16_Multiplicateurs '!P7</f>
        <v>4.791499999999999</v>
      </c>
    </row>
    <row r="6" spans="2:16" ht="33.75" customHeight="1" thickBot="1">
      <c r="B6" s="12" t="s">
        <v>244</v>
      </c>
      <c r="C6" s="68" t="s">
        <v>150</v>
      </c>
      <c r="D6" s="3">
        <f>D4*D5</f>
        <v>0.20824629093754438</v>
      </c>
      <c r="E6" s="3">
        <f>E4*E5</f>
        <v>0.2130941926014898</v>
      </c>
      <c r="F6" s="3">
        <f aca="true" t="shared" si="1" ref="F6:O6">F4*F5</f>
        <v>0.21312500746500085</v>
      </c>
      <c r="G6" s="3">
        <f t="shared" si="1"/>
        <v>0.22205031995932514</v>
      </c>
      <c r="H6" s="3">
        <f t="shared" si="1"/>
        <v>0.21761894393323822</v>
      </c>
      <c r="I6" s="3">
        <f t="shared" si="1"/>
        <v>0.21761894393323822</v>
      </c>
      <c r="J6" s="3">
        <f t="shared" si="1"/>
        <v>0.21761894393323822</v>
      </c>
      <c r="K6" s="3">
        <f t="shared" si="1"/>
        <v>0.21786708513584158</v>
      </c>
      <c r="L6" s="3">
        <f t="shared" si="1"/>
        <v>0.21784474548136548</v>
      </c>
      <c r="M6" s="3">
        <f t="shared" si="1"/>
        <v>0.21784474548136548</v>
      </c>
      <c r="N6" s="3">
        <f t="shared" si="1"/>
        <v>0.18658924742398725</v>
      </c>
      <c r="O6" s="3">
        <f t="shared" si="1"/>
        <v>0.18658924742398725</v>
      </c>
      <c r="P6" s="3">
        <f>P4*P5</f>
        <v>0.18659804122978033</v>
      </c>
    </row>
    <row r="7" spans="2:16" ht="28.5" customHeight="1" thickBot="1">
      <c r="B7" s="12" t="s">
        <v>242</v>
      </c>
      <c r="C7" s="68" t="s">
        <v>148</v>
      </c>
      <c r="D7" s="3">
        <f>'18_ Données taux bénéfice'!D4</f>
        <v>0.098</v>
      </c>
      <c r="E7" s="3">
        <f>'18_ Données taux bénéfice'!E4</f>
        <v>0.098</v>
      </c>
      <c r="F7" s="3">
        <f>'18_ Données taux bénéfice'!F4</f>
        <v>0.098</v>
      </c>
      <c r="G7" s="3">
        <f>'18_ Données taux bénéfice'!G4</f>
        <v>0.098</v>
      </c>
      <c r="H7" s="3">
        <f>'18_ Données taux bénéfice'!H4</f>
        <v>0.098</v>
      </c>
      <c r="I7" s="3">
        <f>'18_ Données taux bénéfice'!I4</f>
        <v>0.098</v>
      </c>
      <c r="J7" s="3">
        <f>'18_ Données taux bénéfice'!J4</f>
        <v>0.098</v>
      </c>
      <c r="K7" s="3">
        <f>'18_ Données taux bénéfice'!K4</f>
        <v>0.085</v>
      </c>
      <c r="L7" s="3">
        <f>'18_ Données taux bénéfice'!L4</f>
        <v>0.085</v>
      </c>
      <c r="M7" s="3">
        <f>'18_ Données taux bénéfice'!M4</f>
        <v>0.085</v>
      </c>
      <c r="N7" s="3">
        <f>'18_ Données taux bénéfice'!N4</f>
        <v>0.085</v>
      </c>
      <c r="O7" s="3">
        <f>'18_ Données taux bénéfice'!O4</f>
        <v>0.085</v>
      </c>
      <c r="P7" s="3">
        <f>'18_ Données taux bénéfice'!P4</f>
        <v>0.085</v>
      </c>
    </row>
    <row r="8" spans="2:16" ht="27" customHeight="1" thickBot="1">
      <c r="B8" s="12" t="s">
        <v>243</v>
      </c>
      <c r="C8" s="68" t="s">
        <v>151</v>
      </c>
      <c r="D8" s="3">
        <f>D6+D7</f>
        <v>0.3062462909375444</v>
      </c>
      <c r="E8" s="3">
        <f aca="true" t="shared" si="2" ref="E8:O8">E6+E7</f>
        <v>0.3110941926014898</v>
      </c>
      <c r="F8" s="3">
        <f t="shared" si="2"/>
        <v>0.3111250074650008</v>
      </c>
      <c r="G8" s="3">
        <f t="shared" si="2"/>
        <v>0.32005031995932515</v>
      </c>
      <c r="H8" s="3">
        <f t="shared" si="2"/>
        <v>0.3156189439332382</v>
      </c>
      <c r="I8" s="3">
        <f t="shared" si="2"/>
        <v>0.3156189439332382</v>
      </c>
      <c r="J8" s="3">
        <f t="shared" si="2"/>
        <v>0.3156189439332382</v>
      </c>
      <c r="K8" s="3">
        <f t="shared" si="2"/>
        <v>0.3028670851358416</v>
      </c>
      <c r="L8" s="3">
        <f t="shared" si="2"/>
        <v>0.3028447454813655</v>
      </c>
      <c r="M8" s="3">
        <f t="shared" si="2"/>
        <v>0.3028447454813655</v>
      </c>
      <c r="N8" s="3">
        <f t="shared" si="2"/>
        <v>0.27158924742398727</v>
      </c>
      <c r="O8" s="3">
        <f t="shared" si="2"/>
        <v>0.27158924742398727</v>
      </c>
      <c r="P8" s="3">
        <f>P6+P7</f>
        <v>0.2715980412297803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P8"/>
  <sheetViews>
    <sheetView workbookViewId="0" topLeftCell="I1">
      <selection activeCell="O14" sqref="O14"/>
    </sheetView>
  </sheetViews>
  <sheetFormatPr defaultColWidth="12" defaultRowHeight="11.25"/>
  <cols>
    <col min="1" max="1" width="6.83203125" style="0" customWidth="1"/>
    <col min="2" max="2" width="67.66015625" style="0" customWidth="1"/>
    <col min="3" max="3" width="25.33203125" style="0" customWidth="1"/>
    <col min="4" max="4" width="12.16015625" style="0" customWidth="1"/>
    <col min="5" max="6" width="9.16015625" style="0" customWidth="1"/>
    <col min="7" max="7" width="9.83203125" style="0" customWidth="1"/>
    <col min="8" max="8" width="9.16015625" style="0" customWidth="1"/>
    <col min="9" max="9" width="11" style="0" customWidth="1"/>
    <col min="10" max="10" width="8.66015625" style="0" customWidth="1"/>
    <col min="11" max="11" width="13" style="0" customWidth="1"/>
    <col min="12" max="12" width="11.16015625" style="0" customWidth="1"/>
    <col min="13" max="13" width="11" style="0" customWidth="1"/>
  </cols>
  <sheetData>
    <row r="1" ht="11.25">
      <c r="A1" s="122" t="s">
        <v>318</v>
      </c>
    </row>
    <row r="2" ht="12" thickBot="1"/>
    <row r="3" spans="2:16" ht="39" thickBot="1">
      <c r="B3" s="99" t="s">
        <v>543</v>
      </c>
      <c r="C3" s="44" t="s">
        <v>62</v>
      </c>
      <c r="D3" s="18">
        <v>1991</v>
      </c>
      <c r="E3" s="18">
        <f>D3+1</f>
        <v>1992</v>
      </c>
      <c r="F3" s="18">
        <f aca="true" t="shared" si="0" ref="F3:P3">E3+1</f>
        <v>1993</v>
      </c>
      <c r="G3" s="18">
        <f t="shared" si="0"/>
        <v>1994</v>
      </c>
      <c r="H3" s="18">
        <f t="shared" si="0"/>
        <v>1995</v>
      </c>
      <c r="I3" s="18">
        <f t="shared" si="0"/>
        <v>1996</v>
      </c>
      <c r="J3" s="18">
        <f t="shared" si="0"/>
        <v>1997</v>
      </c>
      <c r="K3" s="18">
        <f t="shared" si="0"/>
        <v>1998</v>
      </c>
      <c r="L3" s="18">
        <f t="shared" si="0"/>
        <v>1999</v>
      </c>
      <c r="M3" s="18">
        <f t="shared" si="0"/>
        <v>2000</v>
      </c>
      <c r="N3" s="18">
        <f t="shared" si="0"/>
        <v>2001</v>
      </c>
      <c r="O3" s="18">
        <f t="shared" si="0"/>
        <v>2002</v>
      </c>
      <c r="P3" s="18">
        <f t="shared" si="0"/>
        <v>2003</v>
      </c>
    </row>
    <row r="4" spans="2:16" ht="27.75" customHeight="1" thickBot="1">
      <c r="B4" s="12" t="s">
        <v>235</v>
      </c>
      <c r="C4" s="73" t="s">
        <v>71</v>
      </c>
      <c r="D4" s="3">
        <f>'19_Données taux capital'!D5</f>
        <v>0.0009355</v>
      </c>
      <c r="E4" s="3">
        <f>'19_Données taux capital'!E5</f>
        <v>0.0009355</v>
      </c>
      <c r="F4" s="3">
        <f>'19_Données taux capital'!F5</f>
        <v>0.0009355</v>
      </c>
      <c r="G4" s="3">
        <f>'19_Données taux capital'!G5</f>
        <v>0.0009355</v>
      </c>
      <c r="H4" s="3">
        <f>'19_Données taux capital'!H5</f>
        <v>0.0009355</v>
      </c>
      <c r="I4" s="3">
        <f>'19_Données taux capital'!I5</f>
        <v>0.0009355</v>
      </c>
      <c r="J4" s="3">
        <f>'19_Données taux capital'!J5</f>
        <v>0.0009355</v>
      </c>
      <c r="K4" s="3">
        <f>'19_Données taux capital'!K5</f>
        <v>0.0009355</v>
      </c>
      <c r="L4" s="3">
        <f>'19_Données taux capital'!L5</f>
        <v>0.0009355</v>
      </c>
      <c r="M4" s="3">
        <f>'19_Données taux capital'!M5</f>
        <v>0.0009355</v>
      </c>
      <c r="N4" s="3">
        <f>'19_Données taux capital'!N5</f>
        <v>0.0005</v>
      </c>
      <c r="O4" s="3">
        <f>'19_Données taux capital'!O5</f>
        <v>0.0005</v>
      </c>
      <c r="P4" s="3">
        <f>'19_Données taux capital'!P5</f>
        <v>0.0003</v>
      </c>
    </row>
    <row r="5" spans="2:16" ht="25.5" customHeight="1" thickBot="1">
      <c r="B5" s="12" t="s">
        <v>231</v>
      </c>
      <c r="C5" s="73" t="s">
        <v>199</v>
      </c>
      <c r="D5" s="8">
        <f>'16_Multiplicateurs '!D7</f>
        <v>4.58216</v>
      </c>
      <c r="E5" s="8">
        <f>'16_Multiplicateurs '!E7</f>
        <v>4.69067</v>
      </c>
      <c r="F5" s="8">
        <f>'16_Multiplicateurs '!F7</f>
        <v>4.6913599999999995</v>
      </c>
      <c r="G5" s="8">
        <f>'16_Multiplicateurs '!G7</f>
        <v>4.891359999999999</v>
      </c>
      <c r="H5" s="8">
        <f>'16_Multiplicateurs '!H7</f>
        <v>4.792</v>
      </c>
      <c r="I5" s="8">
        <f>'16_Multiplicateurs '!I7</f>
        <v>4.792</v>
      </c>
      <c r="J5" s="8">
        <f>'16_Multiplicateurs '!J7</f>
        <v>4.792</v>
      </c>
      <c r="K5" s="8">
        <f>'16_Multiplicateurs '!K7</f>
        <v>4.792</v>
      </c>
      <c r="L5" s="8">
        <f>'16_Multiplicateurs '!L7</f>
        <v>4.791499999999999</v>
      </c>
      <c r="M5" s="8">
        <f>'16_Multiplicateurs '!M7</f>
        <v>4.791499999999999</v>
      </c>
      <c r="N5" s="8">
        <f>'16_Multiplicateurs '!N7</f>
        <v>4.791499999999999</v>
      </c>
      <c r="O5" s="8">
        <f>'16_Multiplicateurs '!O7</f>
        <v>4.791499999999999</v>
      </c>
      <c r="P5" s="8">
        <f>'16_Multiplicateurs '!P7</f>
        <v>4.791499999999999</v>
      </c>
    </row>
    <row r="6" spans="2:16" ht="33.75" customHeight="1" thickBot="1">
      <c r="B6" s="12" t="s">
        <v>232</v>
      </c>
      <c r="C6" s="100" t="s">
        <v>164</v>
      </c>
      <c r="D6" s="3">
        <f>D4*D5</f>
        <v>0.0042866106800000005</v>
      </c>
      <c r="E6" s="3">
        <f aca="true" t="shared" si="1" ref="E6:P6">E4*E5</f>
        <v>0.004388121785</v>
      </c>
      <c r="F6" s="3">
        <f t="shared" si="1"/>
        <v>0.00438876728</v>
      </c>
      <c r="G6" s="3">
        <f t="shared" si="1"/>
        <v>0.004575867279999999</v>
      </c>
      <c r="H6" s="3">
        <f t="shared" si="1"/>
        <v>0.004482916</v>
      </c>
      <c r="I6" s="3">
        <f t="shared" si="1"/>
        <v>0.004482916</v>
      </c>
      <c r="J6" s="3">
        <f t="shared" si="1"/>
        <v>0.004482916</v>
      </c>
      <c r="K6" s="3">
        <f t="shared" si="1"/>
        <v>0.004482916</v>
      </c>
      <c r="L6" s="3">
        <f t="shared" si="1"/>
        <v>0.004482448249999999</v>
      </c>
      <c r="M6" s="3">
        <f t="shared" si="1"/>
        <v>0.004482448249999999</v>
      </c>
      <c r="N6" s="3">
        <f t="shared" si="1"/>
        <v>0.0023957499999999994</v>
      </c>
      <c r="O6" s="3">
        <f t="shared" si="1"/>
        <v>0.0023957499999999994</v>
      </c>
      <c r="P6" s="3">
        <f t="shared" si="1"/>
        <v>0.0014374499999999996</v>
      </c>
    </row>
    <row r="7" spans="2:16" ht="34.5" customHeight="1" thickBot="1">
      <c r="B7" s="12" t="s">
        <v>233</v>
      </c>
      <c r="C7" s="78" t="s">
        <v>230</v>
      </c>
      <c r="D7" s="47">
        <f>'19_Données taux capital'!D4</f>
        <v>0.000825</v>
      </c>
      <c r="E7" s="47">
        <f>'19_Données taux capital'!E4</f>
        <v>0.000825</v>
      </c>
      <c r="F7" s="47">
        <f>'19_Données taux capital'!F4</f>
        <v>0.000825</v>
      </c>
      <c r="G7" s="47">
        <f>'19_Données taux capital'!G4</f>
        <v>0.000825</v>
      </c>
      <c r="H7" s="47">
        <f>'19_Données taux capital'!H4</f>
        <v>0.0008</v>
      </c>
      <c r="I7" s="47">
        <f>'19_Données taux capital'!I4</f>
        <v>0.0008</v>
      </c>
      <c r="J7" s="47">
        <f>'19_Données taux capital'!J4</f>
        <v>0.0008</v>
      </c>
      <c r="K7" s="47">
        <f>'19_Données taux capital'!K4</f>
        <v>0</v>
      </c>
      <c r="L7" s="47">
        <f>'19_Données taux capital'!L4</f>
        <v>0</v>
      </c>
      <c r="M7" s="47">
        <f>'19_Données taux capital'!M4</f>
        <v>0</v>
      </c>
      <c r="N7" s="47">
        <f>'19_Données taux capital'!N4</f>
        <v>0</v>
      </c>
      <c r="O7" s="47">
        <f>'19_Données taux capital'!O4</f>
        <v>0</v>
      </c>
      <c r="P7" s="47">
        <f>'19_Données taux capital'!P4</f>
        <v>0</v>
      </c>
    </row>
    <row r="8" spans="2:16" ht="27" customHeight="1" thickBot="1">
      <c r="B8" s="12" t="s">
        <v>234</v>
      </c>
      <c r="C8" s="75" t="s">
        <v>82</v>
      </c>
      <c r="D8" s="3">
        <f>D6+D7</f>
        <v>0.005111610680000001</v>
      </c>
      <c r="E8" s="3">
        <f aca="true" t="shared" si="2" ref="E8:P8">E6+E7</f>
        <v>0.005213121785</v>
      </c>
      <c r="F8" s="3">
        <f t="shared" si="2"/>
        <v>0.00521376728</v>
      </c>
      <c r="G8" s="3">
        <f t="shared" si="2"/>
        <v>0.005400867279999999</v>
      </c>
      <c r="H8" s="3">
        <f t="shared" si="2"/>
        <v>0.005282916</v>
      </c>
      <c r="I8" s="3">
        <f t="shared" si="2"/>
        <v>0.005282916</v>
      </c>
      <c r="J8" s="3">
        <f t="shared" si="2"/>
        <v>0.005282916</v>
      </c>
      <c r="K8" s="3">
        <f t="shared" si="2"/>
        <v>0.004482916</v>
      </c>
      <c r="L8" s="3">
        <f t="shared" si="2"/>
        <v>0.004482448249999999</v>
      </c>
      <c r="M8" s="3">
        <f t="shared" si="2"/>
        <v>0.004482448249999999</v>
      </c>
      <c r="N8" s="3">
        <f t="shared" si="2"/>
        <v>0.0023957499999999994</v>
      </c>
      <c r="O8" s="3">
        <f t="shared" si="2"/>
        <v>0.0023957499999999994</v>
      </c>
      <c r="P8" s="3">
        <f t="shared" si="2"/>
        <v>0.0014374499999999996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P9"/>
  <sheetViews>
    <sheetView workbookViewId="0" topLeftCell="A1">
      <selection activeCell="K20" sqref="K20"/>
    </sheetView>
  </sheetViews>
  <sheetFormatPr defaultColWidth="12" defaultRowHeight="11.25"/>
  <cols>
    <col min="1" max="1" width="7" style="0" customWidth="1"/>
    <col min="2" max="2" width="26.83203125" style="0" customWidth="1"/>
    <col min="3" max="3" width="10.83203125" style="0" customWidth="1"/>
    <col min="7" max="7" width="9.66015625" style="0" customWidth="1"/>
  </cols>
  <sheetData>
    <row r="1" ht="11.25">
      <c r="A1" s="122" t="s">
        <v>318</v>
      </c>
    </row>
    <row r="2" spans="7:15" ht="12" thickBot="1">
      <c r="G2" s="95"/>
      <c r="M2" s="95"/>
      <c r="N2" s="95"/>
      <c r="O2" s="95"/>
    </row>
    <row r="3" spans="2:16" ht="32.25" customHeight="1" thickBot="1">
      <c r="B3" s="242" t="s">
        <v>544</v>
      </c>
      <c r="C3" s="259"/>
      <c r="D3" s="54">
        <v>1991</v>
      </c>
      <c r="E3" s="54">
        <f aca="true" t="shared" si="0" ref="E3:P3">D3+1</f>
        <v>1992</v>
      </c>
      <c r="F3" s="54">
        <f t="shared" si="0"/>
        <v>1993</v>
      </c>
      <c r="G3" s="54">
        <f t="shared" si="0"/>
        <v>1994</v>
      </c>
      <c r="H3" s="54">
        <f t="shared" si="0"/>
        <v>1995</v>
      </c>
      <c r="I3" s="54">
        <f t="shared" si="0"/>
        <v>1996</v>
      </c>
      <c r="J3" s="54">
        <f t="shared" si="0"/>
        <v>1997</v>
      </c>
      <c r="K3" s="54">
        <f t="shared" si="0"/>
        <v>1998</v>
      </c>
      <c r="L3" s="54">
        <f t="shared" si="0"/>
        <v>1999</v>
      </c>
      <c r="M3" s="54">
        <f t="shared" si="0"/>
        <v>2000</v>
      </c>
      <c r="N3" s="54">
        <f t="shared" si="0"/>
        <v>2001</v>
      </c>
      <c r="O3" s="54">
        <f t="shared" si="0"/>
        <v>2002</v>
      </c>
      <c r="P3" s="54">
        <f t="shared" si="0"/>
        <v>2003</v>
      </c>
    </row>
    <row r="4" spans="2:16" ht="39" customHeight="1" thickBot="1">
      <c r="B4" s="96" t="s">
        <v>222</v>
      </c>
      <c r="C4" s="97" t="s">
        <v>223</v>
      </c>
      <c r="D4" s="197">
        <v>2.2</v>
      </c>
      <c r="E4" s="197">
        <v>2.3</v>
      </c>
      <c r="F4" s="197">
        <v>2.3</v>
      </c>
      <c r="G4" s="197">
        <v>2.3</v>
      </c>
      <c r="H4" s="197">
        <v>2.3</v>
      </c>
      <c r="I4" s="197">
        <v>2.3</v>
      </c>
      <c r="J4" s="197">
        <v>2.3</v>
      </c>
      <c r="K4" s="197">
        <v>2.3</v>
      </c>
      <c r="L4" s="197">
        <v>2.3</v>
      </c>
      <c r="M4" s="197">
        <v>2.3</v>
      </c>
      <c r="N4" s="197">
        <v>2.3</v>
      </c>
      <c r="O4" s="197">
        <v>3.06</v>
      </c>
      <c r="P4" s="197">
        <v>3.06</v>
      </c>
    </row>
    <row r="5" spans="2:16" ht="41.25" customHeight="1" thickBot="1">
      <c r="B5" s="96" t="s">
        <v>224</v>
      </c>
      <c r="C5" s="97" t="s">
        <v>225</v>
      </c>
      <c r="D5" s="198">
        <v>2.2</v>
      </c>
      <c r="E5" s="198">
        <v>2.2</v>
      </c>
      <c r="F5" s="198">
        <v>2.2</v>
      </c>
      <c r="G5" s="198">
        <v>2.4</v>
      </c>
      <c r="H5" s="197">
        <v>2.3</v>
      </c>
      <c r="I5" s="197">
        <v>2.3</v>
      </c>
      <c r="J5" s="197">
        <v>2.3</v>
      </c>
      <c r="K5" s="197">
        <v>2.3</v>
      </c>
      <c r="L5" s="197">
        <v>2.3</v>
      </c>
      <c r="M5" s="197">
        <v>2.3</v>
      </c>
      <c r="N5" s="197">
        <v>2.3</v>
      </c>
      <c r="O5" s="197">
        <v>1.54</v>
      </c>
      <c r="P5" s="197">
        <v>1.54</v>
      </c>
    </row>
    <row r="6" spans="2:16" ht="36" customHeight="1" thickBot="1">
      <c r="B6" s="96" t="s">
        <v>226</v>
      </c>
      <c r="C6" s="97" t="s">
        <v>227</v>
      </c>
      <c r="D6" s="198">
        <f>8.28%*D4</f>
        <v>0.18216000000000002</v>
      </c>
      <c r="E6" s="198">
        <f>8.29%*E4</f>
        <v>0.19066999999999995</v>
      </c>
      <c r="F6" s="198">
        <f>8.32%*F4</f>
        <v>0.19135999999999997</v>
      </c>
      <c r="G6" s="198">
        <f>8.32%*G4</f>
        <v>0.19135999999999997</v>
      </c>
      <c r="H6" s="198">
        <v>0.192</v>
      </c>
      <c r="I6" s="198">
        <v>0.192</v>
      </c>
      <c r="J6" s="198">
        <v>0.192</v>
      </c>
      <c r="K6" s="198">
        <v>0.192</v>
      </c>
      <c r="L6" s="198">
        <v>0.1915</v>
      </c>
      <c r="M6" s="198">
        <v>0.1915</v>
      </c>
      <c r="N6" s="198">
        <v>0.1915</v>
      </c>
      <c r="O6" s="198">
        <v>0.1915</v>
      </c>
      <c r="P6" s="198">
        <v>0.1915</v>
      </c>
    </row>
    <row r="7" spans="2:16" ht="14.25" thickBot="1">
      <c r="B7" s="96" t="s">
        <v>228</v>
      </c>
      <c r="C7" s="97" t="s">
        <v>229</v>
      </c>
      <c r="D7" s="115">
        <f>D4+D5+D6</f>
        <v>4.58216</v>
      </c>
      <c r="E7" s="115">
        <f aca="true" t="shared" si="1" ref="E7:L7">E4+E5+E6</f>
        <v>4.69067</v>
      </c>
      <c r="F7" s="115">
        <f t="shared" si="1"/>
        <v>4.6913599999999995</v>
      </c>
      <c r="G7" s="115">
        <f t="shared" si="1"/>
        <v>4.891359999999999</v>
      </c>
      <c r="H7" s="115">
        <f t="shared" si="1"/>
        <v>4.792</v>
      </c>
      <c r="I7" s="115">
        <f t="shared" si="1"/>
        <v>4.792</v>
      </c>
      <c r="J7" s="115">
        <f t="shared" si="1"/>
        <v>4.792</v>
      </c>
      <c r="K7" s="115">
        <f t="shared" si="1"/>
        <v>4.792</v>
      </c>
      <c r="L7" s="115">
        <f t="shared" si="1"/>
        <v>4.791499999999999</v>
      </c>
      <c r="M7" s="115">
        <f>M4+M5+M6</f>
        <v>4.791499999999999</v>
      </c>
      <c r="N7" s="115">
        <f>N4+N5+N6</f>
        <v>4.791499999999999</v>
      </c>
      <c r="O7" s="115">
        <f>O4+O5+O6</f>
        <v>4.791499999999999</v>
      </c>
      <c r="P7" s="115">
        <f>P4+P5+P6</f>
        <v>4.791499999999999</v>
      </c>
    </row>
    <row r="8" spans="2:16" ht="13.5" thickBot="1">
      <c r="B8" s="96" t="s">
        <v>433</v>
      </c>
      <c r="C8" s="97" t="s">
        <v>434</v>
      </c>
      <c r="D8" s="189">
        <f>'17_Multiplicateurs publiés'!D7</f>
        <v>4.5958000000000006</v>
      </c>
      <c r="E8" s="189">
        <f>'17_Multiplicateurs publiés'!E7</f>
        <v>4.69067</v>
      </c>
      <c r="F8" s="189">
        <f>'17_Multiplicateurs publiés'!F7</f>
        <v>4.69044</v>
      </c>
      <c r="G8" s="189">
        <f>'17_Multiplicateurs publiés'!G7</f>
        <v>4.6913599999999995</v>
      </c>
      <c r="H8" s="189">
        <f>'17_Multiplicateurs publiés'!H7</f>
        <v>4.791499999999999</v>
      </c>
      <c r="I8" s="189">
        <f>'17_Multiplicateurs publiés'!I7</f>
        <v>4.791499999999999</v>
      </c>
      <c r="J8" s="189">
        <f>'17_Multiplicateurs publiés'!J7</f>
        <v>4.792</v>
      </c>
      <c r="K8" s="189">
        <f>'17_Multiplicateurs publiés'!K7</f>
        <v>4.792</v>
      </c>
      <c r="L8" s="189">
        <f>'17_Multiplicateurs publiés'!L7</f>
        <v>4.791499999999999</v>
      </c>
      <c r="M8" s="189">
        <f>'17_Multiplicateurs publiés'!M7</f>
        <v>4.791499999999999</v>
      </c>
      <c r="N8" s="189">
        <f>'17_Multiplicateurs publiés'!N7</f>
        <v>4.791499999999999</v>
      </c>
      <c r="O8" s="189">
        <f>'17_Multiplicateurs publiés'!O7</f>
        <v>4.791499999999999</v>
      </c>
      <c r="P8" s="189">
        <f>'17_Multiplicateurs publiés'!P7</f>
        <v>4.791499999999999</v>
      </c>
    </row>
    <row r="9" spans="2:16" ht="13.5" thickBot="1">
      <c r="B9" s="96" t="s">
        <v>255</v>
      </c>
      <c r="C9" s="97" t="s">
        <v>435</v>
      </c>
      <c r="D9" s="189">
        <f aca="true" t="shared" si="2" ref="D9:P9">D7-D8</f>
        <v>-0.01364000000000054</v>
      </c>
      <c r="E9" s="189">
        <f t="shared" si="2"/>
        <v>0</v>
      </c>
      <c r="F9" s="189">
        <f t="shared" si="2"/>
        <v>0.0009199999999998099</v>
      </c>
      <c r="G9" s="189">
        <f t="shared" si="2"/>
        <v>0.1999999999999993</v>
      </c>
      <c r="H9" s="189">
        <f t="shared" si="2"/>
        <v>0.0005000000000006111</v>
      </c>
      <c r="I9" s="189">
        <f t="shared" si="2"/>
        <v>0.0005000000000006111</v>
      </c>
      <c r="J9" s="189">
        <f t="shared" si="2"/>
        <v>0</v>
      </c>
      <c r="K9" s="189">
        <f t="shared" si="2"/>
        <v>0</v>
      </c>
      <c r="L9" s="189">
        <f t="shared" si="2"/>
        <v>0</v>
      </c>
      <c r="M9" s="189">
        <f t="shared" si="2"/>
        <v>0</v>
      </c>
      <c r="N9" s="189">
        <f t="shared" si="2"/>
        <v>0</v>
      </c>
      <c r="O9" s="189">
        <f t="shared" si="2"/>
        <v>0</v>
      </c>
      <c r="P9" s="189">
        <f t="shared" si="2"/>
        <v>0</v>
      </c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/>
  <dimension ref="A1:P10"/>
  <sheetViews>
    <sheetView workbookViewId="0" topLeftCell="A1">
      <selection activeCell="H26" sqref="H26"/>
    </sheetView>
  </sheetViews>
  <sheetFormatPr defaultColWidth="12" defaultRowHeight="11.25"/>
  <cols>
    <col min="1" max="1" width="7" style="0" customWidth="1"/>
    <col min="2" max="2" width="26.83203125" style="0" customWidth="1"/>
    <col min="3" max="3" width="10.83203125" style="0" customWidth="1"/>
    <col min="7" max="7" width="9.66015625" style="0" customWidth="1"/>
  </cols>
  <sheetData>
    <row r="1" ht="11.25">
      <c r="A1" s="122" t="s">
        <v>318</v>
      </c>
    </row>
    <row r="2" spans="7:15" ht="12" thickBot="1">
      <c r="G2" s="95"/>
      <c r="M2" s="95"/>
      <c r="N2" s="95"/>
      <c r="O2" s="95"/>
    </row>
    <row r="3" spans="2:16" ht="32.25" customHeight="1" thickBot="1">
      <c r="B3" s="242" t="s">
        <v>545</v>
      </c>
      <c r="C3" s="259"/>
      <c r="D3" s="54">
        <v>1991</v>
      </c>
      <c r="E3" s="54">
        <f aca="true" t="shared" si="0" ref="E3:P3">D3+1</f>
        <v>1992</v>
      </c>
      <c r="F3" s="54">
        <f t="shared" si="0"/>
        <v>1993</v>
      </c>
      <c r="G3" s="54">
        <f t="shared" si="0"/>
        <v>1994</v>
      </c>
      <c r="H3" s="54">
        <f t="shared" si="0"/>
        <v>1995</v>
      </c>
      <c r="I3" s="54">
        <f t="shared" si="0"/>
        <v>1996</v>
      </c>
      <c r="J3" s="54">
        <f t="shared" si="0"/>
        <v>1997</v>
      </c>
      <c r="K3" s="54">
        <f t="shared" si="0"/>
        <v>1998</v>
      </c>
      <c r="L3" s="54">
        <f t="shared" si="0"/>
        <v>1999</v>
      </c>
      <c r="M3" s="54">
        <f t="shared" si="0"/>
        <v>2000</v>
      </c>
      <c r="N3" s="54">
        <f t="shared" si="0"/>
        <v>2001</v>
      </c>
      <c r="O3" s="54">
        <f t="shared" si="0"/>
        <v>2002</v>
      </c>
      <c r="P3" s="54">
        <f t="shared" si="0"/>
        <v>2003</v>
      </c>
    </row>
    <row r="4" spans="2:16" ht="39" customHeight="1" thickBot="1">
      <c r="B4" s="96" t="s">
        <v>222</v>
      </c>
      <c r="C4" s="97" t="s">
        <v>223</v>
      </c>
      <c r="D4" s="197">
        <v>2.2</v>
      </c>
      <c r="E4" s="197">
        <v>2.3</v>
      </c>
      <c r="F4" s="197">
        <v>2.3</v>
      </c>
      <c r="G4" s="197">
        <v>2.3</v>
      </c>
      <c r="H4" s="197">
        <v>2.3</v>
      </c>
      <c r="I4" s="197">
        <v>2.3</v>
      </c>
      <c r="J4" s="197">
        <v>2.3</v>
      </c>
      <c r="K4" s="197">
        <v>2.3</v>
      </c>
      <c r="L4" s="197">
        <v>2.3</v>
      </c>
      <c r="M4" s="197">
        <v>2.3</v>
      </c>
      <c r="N4" s="197">
        <v>2.3</v>
      </c>
      <c r="O4" s="197">
        <v>3.06</v>
      </c>
      <c r="P4" s="197">
        <v>3.06</v>
      </c>
    </row>
    <row r="5" spans="2:16" ht="41.25" customHeight="1" thickBot="1">
      <c r="B5" s="96" t="s">
        <v>224</v>
      </c>
      <c r="C5" s="97" t="s">
        <v>225</v>
      </c>
      <c r="D5" s="198">
        <v>2.2</v>
      </c>
      <c r="E5" s="198">
        <v>2.2</v>
      </c>
      <c r="F5" s="198">
        <v>2.2</v>
      </c>
      <c r="G5" s="198">
        <v>2.2</v>
      </c>
      <c r="H5" s="197">
        <v>2.3</v>
      </c>
      <c r="I5" s="197">
        <v>2.3</v>
      </c>
      <c r="J5" s="197">
        <v>2.3</v>
      </c>
      <c r="K5" s="197">
        <v>2.3</v>
      </c>
      <c r="L5" s="197">
        <v>2.3</v>
      </c>
      <c r="M5" s="197">
        <v>2.3</v>
      </c>
      <c r="N5" s="197">
        <v>2.3</v>
      </c>
      <c r="O5" s="197">
        <v>1.54</v>
      </c>
      <c r="P5" s="197">
        <v>1.54</v>
      </c>
    </row>
    <row r="6" spans="2:16" ht="36" customHeight="1" thickBot="1">
      <c r="B6" s="96" t="s">
        <v>226</v>
      </c>
      <c r="C6" s="97" t="s">
        <v>227</v>
      </c>
      <c r="D6" s="198">
        <f>8.9%*D4</f>
        <v>0.19580000000000003</v>
      </c>
      <c r="E6" s="198">
        <f>8.29%*E4</f>
        <v>0.19066999999999995</v>
      </c>
      <c r="F6" s="198">
        <f>8.28%*F4</f>
        <v>0.19043999999999997</v>
      </c>
      <c r="G6" s="198">
        <f>8.32%*G4</f>
        <v>0.19135999999999997</v>
      </c>
      <c r="H6" s="198">
        <v>0.1915</v>
      </c>
      <c r="I6" s="198">
        <v>0.1915</v>
      </c>
      <c r="J6" s="198">
        <v>0.192</v>
      </c>
      <c r="K6" s="198">
        <v>0.192</v>
      </c>
      <c r="L6" s="198">
        <v>0.1915</v>
      </c>
      <c r="M6" s="198">
        <v>0.1915</v>
      </c>
      <c r="N6" s="198">
        <v>0.1915</v>
      </c>
      <c r="O6" s="198">
        <v>0.1915</v>
      </c>
      <c r="P6" s="198">
        <v>0.1915</v>
      </c>
    </row>
    <row r="7" spans="2:16" ht="14.25" thickBot="1">
      <c r="B7" s="96" t="s">
        <v>228</v>
      </c>
      <c r="C7" s="97" t="s">
        <v>229</v>
      </c>
      <c r="D7" s="115">
        <f>D4+D5+D6</f>
        <v>4.5958000000000006</v>
      </c>
      <c r="E7" s="115">
        <f aca="true" t="shared" si="1" ref="E7:L7">E4+E5+E6</f>
        <v>4.69067</v>
      </c>
      <c r="F7" s="115">
        <f t="shared" si="1"/>
        <v>4.69044</v>
      </c>
      <c r="G7" s="115">
        <f t="shared" si="1"/>
        <v>4.6913599999999995</v>
      </c>
      <c r="H7" s="115">
        <f t="shared" si="1"/>
        <v>4.791499999999999</v>
      </c>
      <c r="I7" s="115">
        <f t="shared" si="1"/>
        <v>4.791499999999999</v>
      </c>
      <c r="J7" s="115">
        <f t="shared" si="1"/>
        <v>4.792</v>
      </c>
      <c r="K7" s="115">
        <f t="shared" si="1"/>
        <v>4.792</v>
      </c>
      <c r="L7" s="115">
        <f t="shared" si="1"/>
        <v>4.791499999999999</v>
      </c>
      <c r="M7" s="115">
        <f>M4+M5+M6</f>
        <v>4.791499999999999</v>
      </c>
      <c r="N7" s="115">
        <f>N4+N5+N6</f>
        <v>4.791499999999999</v>
      </c>
      <c r="O7" s="115">
        <f>O4+O5+O6</f>
        <v>4.791499999999999</v>
      </c>
      <c r="P7" s="115">
        <f>P4+P5+P6</f>
        <v>4.791499999999999</v>
      </c>
    </row>
    <row r="10" ht="11.25">
      <c r="J10" s="7"/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4:D39"/>
  <sheetViews>
    <sheetView workbookViewId="0" topLeftCell="A1">
      <selection activeCell="D6" sqref="D6"/>
    </sheetView>
  </sheetViews>
  <sheetFormatPr defaultColWidth="12" defaultRowHeight="11.25"/>
  <cols>
    <col min="1" max="1" width="4" style="0" customWidth="1"/>
    <col min="2" max="2" width="18.33203125" style="0" customWidth="1"/>
    <col min="3" max="3" width="81.16015625" style="0" customWidth="1"/>
    <col min="4" max="4" width="33.16015625" style="0" customWidth="1"/>
  </cols>
  <sheetData>
    <row r="3" ht="12" thickBot="1"/>
    <row r="4" spans="2:4" ht="36" customHeight="1" thickBot="1">
      <c r="B4" s="233" t="s">
        <v>436</v>
      </c>
      <c r="C4" s="234"/>
      <c r="D4" s="235"/>
    </row>
    <row r="5" spans="2:4" ht="54.75" customHeight="1" thickBot="1">
      <c r="B5" s="44" t="s">
        <v>320</v>
      </c>
      <c r="C5" s="98" t="s">
        <v>273</v>
      </c>
      <c r="D5" s="6" t="s">
        <v>216</v>
      </c>
    </row>
    <row r="6" spans="2:4" ht="13.5" customHeight="1" thickBot="1">
      <c r="B6" s="58">
        <v>1</v>
      </c>
      <c r="C6" s="51" t="s">
        <v>439</v>
      </c>
      <c r="D6" s="143" t="s">
        <v>552</v>
      </c>
    </row>
    <row r="7" spans="2:4" ht="23.25" customHeight="1" thickBot="1">
      <c r="B7" s="58">
        <f>B6+1</f>
        <v>2</v>
      </c>
      <c r="C7" s="51" t="s">
        <v>266</v>
      </c>
      <c r="D7" s="143" t="s">
        <v>442</v>
      </c>
    </row>
    <row r="8" spans="2:4" ht="21" customHeight="1" thickBot="1">
      <c r="B8" s="58">
        <f aca="true" t="shared" si="0" ref="B8:B39">B7+1</f>
        <v>3</v>
      </c>
      <c r="C8" s="45" t="s">
        <v>236</v>
      </c>
      <c r="D8" s="144" t="s">
        <v>443</v>
      </c>
    </row>
    <row r="9" spans="2:4" ht="21" customHeight="1" thickBot="1">
      <c r="B9" s="58">
        <f t="shared" si="0"/>
        <v>4</v>
      </c>
      <c r="C9" s="45" t="s">
        <v>15</v>
      </c>
      <c r="D9" s="144" t="s">
        <v>16</v>
      </c>
    </row>
    <row r="10" spans="2:4" ht="29.25" customHeight="1" thickBot="1">
      <c r="B10" s="58">
        <f t="shared" si="0"/>
        <v>5</v>
      </c>
      <c r="C10" s="51" t="s">
        <v>285</v>
      </c>
      <c r="D10" s="144" t="s">
        <v>17</v>
      </c>
    </row>
    <row r="11" spans="2:4" ht="31.5" customHeight="1" thickBot="1">
      <c r="B11" s="58">
        <f t="shared" si="0"/>
        <v>6</v>
      </c>
      <c r="C11" s="51" t="s">
        <v>285</v>
      </c>
      <c r="D11" s="144" t="s">
        <v>18</v>
      </c>
    </row>
    <row r="12" spans="2:4" ht="29.25" customHeight="1" thickBot="1">
      <c r="B12" s="58">
        <f t="shared" si="0"/>
        <v>7</v>
      </c>
      <c r="C12" s="51" t="s">
        <v>50</v>
      </c>
      <c r="D12" s="144" t="s">
        <v>19</v>
      </c>
    </row>
    <row r="13" spans="2:4" ht="36.75" customHeight="1" thickBot="1">
      <c r="B13" s="58">
        <f t="shared" si="0"/>
        <v>8</v>
      </c>
      <c r="C13" s="51" t="s">
        <v>286</v>
      </c>
      <c r="D13" s="144" t="s">
        <v>20</v>
      </c>
    </row>
    <row r="14" spans="2:4" ht="30" customHeight="1" thickBot="1">
      <c r="B14" s="58">
        <f t="shared" si="0"/>
        <v>9</v>
      </c>
      <c r="C14" s="51" t="s">
        <v>311</v>
      </c>
      <c r="D14" s="144" t="s">
        <v>24</v>
      </c>
    </row>
    <row r="15" spans="2:4" ht="30.75" customHeight="1" thickBot="1">
      <c r="B15" s="58">
        <f t="shared" si="0"/>
        <v>10</v>
      </c>
      <c r="C15" s="51" t="s">
        <v>312</v>
      </c>
      <c r="D15" s="144" t="s">
        <v>25</v>
      </c>
    </row>
    <row r="16" spans="2:4" ht="27.75" customHeight="1" thickBot="1">
      <c r="B16" s="58">
        <f t="shared" si="0"/>
        <v>11</v>
      </c>
      <c r="C16" s="51" t="s">
        <v>287</v>
      </c>
      <c r="D16" s="144" t="s">
        <v>26</v>
      </c>
    </row>
    <row r="17" spans="2:4" ht="26.25" customHeight="1" thickBot="1">
      <c r="B17" s="58">
        <f t="shared" si="0"/>
        <v>12</v>
      </c>
      <c r="C17" s="51" t="s">
        <v>288</v>
      </c>
      <c r="D17" s="144" t="s">
        <v>27</v>
      </c>
    </row>
    <row r="18" spans="2:4" ht="32.25" customHeight="1" thickBot="1">
      <c r="B18" s="58">
        <f t="shared" si="0"/>
        <v>13</v>
      </c>
      <c r="C18" s="51" t="s">
        <v>289</v>
      </c>
      <c r="D18" s="144" t="s">
        <v>28</v>
      </c>
    </row>
    <row r="19" spans="2:4" ht="35.25" customHeight="1" thickBot="1">
      <c r="B19" s="58">
        <f t="shared" si="0"/>
        <v>14</v>
      </c>
      <c r="C19" s="51" t="s">
        <v>60</v>
      </c>
      <c r="D19" s="144" t="s">
        <v>29</v>
      </c>
    </row>
    <row r="20" spans="2:4" ht="36.75" customHeight="1" thickBot="1">
      <c r="B20" s="58">
        <f t="shared" si="0"/>
        <v>15</v>
      </c>
      <c r="C20" s="51" t="s">
        <v>314</v>
      </c>
      <c r="D20" s="144" t="s">
        <v>30</v>
      </c>
    </row>
    <row r="21" spans="2:4" ht="26.25" customHeight="1" thickBot="1">
      <c r="B21" s="58">
        <f t="shared" si="0"/>
        <v>16</v>
      </c>
      <c r="C21" s="51" t="s">
        <v>319</v>
      </c>
      <c r="D21" s="144" t="s">
        <v>31</v>
      </c>
    </row>
    <row r="22" spans="2:4" ht="26.25" customHeight="1" thickBot="1">
      <c r="B22" s="58">
        <f t="shared" si="0"/>
        <v>17</v>
      </c>
      <c r="C22" s="51" t="s">
        <v>433</v>
      </c>
      <c r="D22" s="144" t="s">
        <v>32</v>
      </c>
    </row>
    <row r="23" spans="2:4" ht="26.25" customHeight="1" thickBot="1">
      <c r="B23" s="58">
        <f t="shared" si="0"/>
        <v>18</v>
      </c>
      <c r="C23" s="51" t="s">
        <v>437</v>
      </c>
      <c r="D23" s="144" t="s">
        <v>33</v>
      </c>
    </row>
    <row r="24" spans="2:4" ht="26.25" customHeight="1" thickBot="1">
      <c r="B24" s="58">
        <f t="shared" si="0"/>
        <v>19</v>
      </c>
      <c r="C24" s="51" t="s">
        <v>438</v>
      </c>
      <c r="D24" s="144" t="s">
        <v>34</v>
      </c>
    </row>
    <row r="25" spans="2:4" ht="26.25" customHeight="1" thickBot="1">
      <c r="B25" s="58">
        <f t="shared" si="0"/>
        <v>20</v>
      </c>
      <c r="C25" s="51" t="s">
        <v>52</v>
      </c>
      <c r="D25" s="144" t="s">
        <v>35</v>
      </c>
    </row>
    <row r="26" spans="2:4" ht="26.25" customHeight="1" thickBot="1">
      <c r="B26" s="58">
        <f t="shared" si="0"/>
        <v>21</v>
      </c>
      <c r="C26" s="51" t="s">
        <v>53</v>
      </c>
      <c r="D26" s="144" t="s">
        <v>36</v>
      </c>
    </row>
    <row r="27" spans="2:4" ht="26.25" customHeight="1" thickBot="1">
      <c r="B27" s="58">
        <f t="shared" si="0"/>
        <v>22</v>
      </c>
      <c r="C27" s="51" t="s">
        <v>54</v>
      </c>
      <c r="D27" s="144" t="s">
        <v>37</v>
      </c>
    </row>
    <row r="28" spans="2:4" ht="26.25" customHeight="1" thickBot="1">
      <c r="B28" s="58">
        <f t="shared" si="0"/>
        <v>23</v>
      </c>
      <c r="C28" s="51" t="s">
        <v>55</v>
      </c>
      <c r="D28" s="144" t="s">
        <v>38</v>
      </c>
    </row>
    <row r="29" spans="2:4" ht="26.25" customHeight="1" thickBot="1">
      <c r="B29" s="58">
        <f t="shared" si="0"/>
        <v>24</v>
      </c>
      <c r="C29" s="51" t="s">
        <v>56</v>
      </c>
      <c r="D29" s="144" t="s">
        <v>39</v>
      </c>
    </row>
    <row r="30" spans="2:4" ht="26.25" customHeight="1" thickBot="1">
      <c r="B30" s="58">
        <f t="shared" si="0"/>
        <v>25</v>
      </c>
      <c r="C30" s="51" t="s">
        <v>51</v>
      </c>
      <c r="D30" s="144" t="s">
        <v>40</v>
      </c>
    </row>
    <row r="31" spans="2:4" ht="26.25" customHeight="1" thickBot="1">
      <c r="B31" s="58">
        <f t="shared" si="0"/>
        <v>26</v>
      </c>
      <c r="C31" s="51" t="s">
        <v>21</v>
      </c>
      <c r="D31" s="144" t="s">
        <v>41</v>
      </c>
    </row>
    <row r="32" spans="2:4" ht="26.25" customHeight="1" thickBot="1">
      <c r="B32" s="58">
        <f t="shared" si="0"/>
        <v>27</v>
      </c>
      <c r="C32" s="51" t="s">
        <v>57</v>
      </c>
      <c r="D32" s="144" t="s">
        <v>42</v>
      </c>
    </row>
    <row r="33" spans="2:4" ht="26.25" customHeight="1" thickBot="1">
      <c r="B33" s="58">
        <f t="shared" si="0"/>
        <v>28</v>
      </c>
      <c r="C33" s="51" t="s">
        <v>22</v>
      </c>
      <c r="D33" s="144" t="s">
        <v>43</v>
      </c>
    </row>
    <row r="34" spans="2:4" ht="26.25" customHeight="1" thickBot="1">
      <c r="B34" s="58">
        <f t="shared" si="0"/>
        <v>29</v>
      </c>
      <c r="C34" s="51" t="s">
        <v>23</v>
      </c>
      <c r="D34" s="144" t="s">
        <v>44</v>
      </c>
    </row>
    <row r="35" spans="2:4" ht="33.75" customHeight="1" thickBot="1">
      <c r="B35" s="58">
        <f t="shared" si="0"/>
        <v>30</v>
      </c>
      <c r="C35" s="51" t="s">
        <v>315</v>
      </c>
      <c r="D35" s="143" t="s">
        <v>45</v>
      </c>
    </row>
    <row r="36" spans="2:4" ht="33.75" customHeight="1" thickBot="1">
      <c r="B36" s="58">
        <f t="shared" si="0"/>
        <v>31</v>
      </c>
      <c r="C36" s="51" t="s">
        <v>316</v>
      </c>
      <c r="D36" s="143" t="s">
        <v>46</v>
      </c>
    </row>
    <row r="37" spans="2:4" ht="32.25" customHeight="1" thickBot="1">
      <c r="B37" s="58">
        <f t="shared" si="0"/>
        <v>32</v>
      </c>
      <c r="C37" s="51" t="s">
        <v>317</v>
      </c>
      <c r="D37" s="143" t="s">
        <v>47</v>
      </c>
    </row>
    <row r="38" spans="2:4" ht="16.5" thickBot="1">
      <c r="B38" s="58">
        <f t="shared" si="0"/>
        <v>33</v>
      </c>
      <c r="C38" s="51" t="s">
        <v>388</v>
      </c>
      <c r="D38" s="144" t="s">
        <v>48</v>
      </c>
    </row>
    <row r="39" spans="2:4" ht="16.5" thickBot="1">
      <c r="B39" s="58">
        <f t="shared" si="0"/>
        <v>34</v>
      </c>
      <c r="C39" s="51" t="s">
        <v>389</v>
      </c>
      <c r="D39" s="144" t="s">
        <v>49</v>
      </c>
    </row>
  </sheetData>
  <mergeCells count="1">
    <mergeCell ref="B4:D4"/>
  </mergeCells>
  <hyperlinks>
    <hyperlink ref="D7" location="'2_Les 4 cas'!A1" display="'2_Les 4 cas'!A1"/>
    <hyperlink ref="D8" location="'3_Recap Taux pour EMTR'!A1" display="'3_Recap Taux pour EMTR'!A1"/>
    <hyperlink ref="D9" location="'4_Dernière synthèse'!A1" display="'4_Dernière synthèse'!A1"/>
    <hyperlink ref="D10" location="'5_Synthèse calcul benefice net'!A1" display="'5_Synthèse calcul benefice net'!A1"/>
    <hyperlink ref="D11" location="'6_Synthèse calcul taux_et cfis'!A1" display="'6_Synthèse calcul taux_et cfis'!A1"/>
    <hyperlink ref="D12" location="'7_Comp_montant_charge fiscal'!A1" display="'7_Comp_montant_charge fiscal'!A1"/>
    <hyperlink ref="D13" location="'8_Calcul des montants d''impôt'!A1" display="'8_Calcul des montants d''impôt'!A1"/>
    <hyperlink ref="D14" location="'9_Recap  t'' pour montant'!A1" display="'9_Recap  t'' pour montant'!A1"/>
    <hyperlink ref="D15" location="'10_ t'' pour version texte'!A1" display="'10_ t'' pour version texte'!A1"/>
    <hyperlink ref="D16" location="'11_Calcul des t'' avec capital'!A1" display="'11_Calcul des t'' avec capital'!A1"/>
    <hyperlink ref="D17" location="'12_Calcul des t'' sans capital'!A1" display="'12_Calcul des t'' sans capital'!A1"/>
    <hyperlink ref="D18" location="'13_Recap_ tc et tk nominaux'!A1" display="'13_Recap_ tc et tk nominaux'!A1"/>
    <hyperlink ref="D19" location="'14_tc_Taux nominal bénéfice'!A1" display="'14_tc_Taux nominal bénéfice'!A1"/>
    <hyperlink ref="D20" location="'15_tk_Taux nominal capital'!A1" display="'15_tk_Taux nominal capital'!A1"/>
    <hyperlink ref="D21" location="'16_Multiplicateurs '!A1" display="'16_Multiplicateurs '!A1"/>
    <hyperlink ref="D22" location="'17_Multiplicateurs publiés'!A1" display="'17_Multiplicateurs publiés'!A1"/>
    <hyperlink ref="D23" location="'18_ Données taux bénéfice'!A1" display="'18_ Données taux bénéfice'!A1"/>
    <hyperlink ref="D24" location="'19_Données taux capital'!A1" display="'19_Données taux capital'!A1"/>
    <hyperlink ref="D25" location="'20_Législation capital canton'!A1" display="'20_Législation capital canton'!A1"/>
    <hyperlink ref="D26" location="'21_Calc. tk pr comp cfisc_91-00'!A1" display="'21_Calc. tk pr comp cfisc_91-00'!A1"/>
    <hyperlink ref="D27" location="'22_Calcul tk pr comp cfis_01-04'!A1" display="'22_Calcul tk pr comp cfis_01-04'!A1"/>
    <hyperlink ref="D28" location="'23_législation bénéfice'!A1" display="'23_législation bénéfice'!A1"/>
    <hyperlink ref="D29" location="'24_calcul tb_1991-2000'!A1" display="'24_calcul tb_1991-2000'!A1"/>
    <hyperlink ref="D30" location="'25_Calcul direct tb 91-2000'!A1" display="'25_Calcul direct tb 91-2000'!A1"/>
    <hyperlink ref="D31" location="'26_Recalcul direct tb 91-2000'!A1" display="'26_Recalcul direct tb 91-2000'!A1"/>
    <hyperlink ref="D32" location="'27_Calcul tb 2001-2004 '!A1" display="'27_Calcul tb 2001-2004 '!A1"/>
    <hyperlink ref="D33" location="'28_Calcul direct tb 2001-2004'!A1" display="'28_Calcul direct tb 2001-2004'!A1"/>
    <hyperlink ref="D34" location="'29_Recalcul direct tb 2001-2004'!A1" display="'29_Recalcul direct tb 2001-2004'!A1"/>
    <hyperlink ref="D35" location="'30_Législation des taux_Conf'!A1" display="'30_Législation des taux_Conf'!A1"/>
    <hyperlink ref="D36" location="'31_conf calcul_M1'!A1" display="'31_conf calcul_M1'!A1"/>
    <hyperlink ref="D37" location="'32_conf_Calcul_M2'!A1" display="'32_conf_Calcul_M2'!A1"/>
    <hyperlink ref="D38" location="'33_retrouver tb quand tk donné'!A1" display="'33_retrouver tb quand tk donné'!A1"/>
    <hyperlink ref="D39" location="'34_retrouver tk quand tc donné'!A1" display="'34_retrouver tk quand tc donné'!A1"/>
    <hyperlink ref="D6" location="'1_Remarque'!A1" display="'1_Remarque'!A1"/>
  </hyperlinks>
  <printOptions/>
  <pageMargins left="0.75" right="0.75" top="1" bottom="1" header="0.4921259845" footer="0.4921259845"/>
  <pageSetup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P8"/>
  <sheetViews>
    <sheetView workbookViewId="0" topLeftCell="H1">
      <selection activeCell="P21" sqref="P21"/>
    </sheetView>
  </sheetViews>
  <sheetFormatPr defaultColWidth="12" defaultRowHeight="11.25"/>
  <cols>
    <col min="1" max="1" width="7.66015625" style="0" customWidth="1"/>
    <col min="2" max="2" width="38" style="0" customWidth="1"/>
    <col min="3" max="3" width="10.5" style="0" customWidth="1"/>
    <col min="4" max="4" width="10.66015625" style="0" customWidth="1"/>
    <col min="5" max="5" width="10" style="0" customWidth="1"/>
    <col min="6" max="6" width="10.16015625" style="0" customWidth="1"/>
    <col min="7" max="7" width="11.83203125" style="0" customWidth="1"/>
    <col min="8" max="8" width="9.16015625" style="0" customWidth="1"/>
    <col min="9" max="9" width="11.5" style="0" customWidth="1"/>
    <col min="10" max="10" width="10.66015625" style="0" customWidth="1"/>
    <col min="11" max="11" width="9.5" style="0" customWidth="1"/>
    <col min="12" max="12" width="9" style="0" customWidth="1"/>
    <col min="13" max="13" width="13" style="0" customWidth="1"/>
    <col min="14" max="14" width="13.5" style="0" customWidth="1"/>
    <col min="15" max="15" width="9.83203125" style="0" customWidth="1"/>
    <col min="16" max="16" width="11.83203125" style="0" customWidth="1"/>
  </cols>
  <sheetData>
    <row r="1" ht="11.25">
      <c r="A1" s="122" t="s">
        <v>318</v>
      </c>
    </row>
    <row r="2" ht="12" thickBot="1"/>
    <row r="3" spans="2:16" ht="18.75" customHeight="1" thickBot="1">
      <c r="B3" s="260" t="s">
        <v>546</v>
      </c>
      <c r="C3" s="261"/>
      <c r="D3" s="91">
        <v>1991</v>
      </c>
      <c r="E3" s="91">
        <f>D3+1</f>
        <v>1992</v>
      </c>
      <c r="F3" s="91">
        <f aca="true" t="shared" si="0" ref="F3:P3">E3+1</f>
        <v>1993</v>
      </c>
      <c r="G3" s="91">
        <f t="shared" si="0"/>
        <v>1994</v>
      </c>
      <c r="H3" s="91">
        <f t="shared" si="0"/>
        <v>1995</v>
      </c>
      <c r="I3" s="91">
        <f t="shared" si="0"/>
        <v>1996</v>
      </c>
      <c r="J3" s="91">
        <f t="shared" si="0"/>
        <v>1997</v>
      </c>
      <c r="K3" s="91">
        <f t="shared" si="0"/>
        <v>1998</v>
      </c>
      <c r="L3" s="91">
        <f t="shared" si="0"/>
        <v>1999</v>
      </c>
      <c r="M3" s="91">
        <f t="shared" si="0"/>
        <v>2000</v>
      </c>
      <c r="N3" s="91">
        <f t="shared" si="0"/>
        <v>2001</v>
      </c>
      <c r="O3" s="91">
        <f t="shared" si="0"/>
        <v>2002</v>
      </c>
      <c r="P3" s="44">
        <f t="shared" si="0"/>
        <v>2003</v>
      </c>
    </row>
    <row r="4" spans="2:16" ht="30" customHeight="1" thickBot="1">
      <c r="B4" s="16" t="s">
        <v>237</v>
      </c>
      <c r="C4" s="78" t="s">
        <v>89</v>
      </c>
      <c r="D4" s="114">
        <v>0.098</v>
      </c>
      <c r="E4" s="114">
        <v>0.098</v>
      </c>
      <c r="F4" s="114">
        <v>0.098</v>
      </c>
      <c r="G4" s="114">
        <v>0.098</v>
      </c>
      <c r="H4" s="114">
        <v>0.098</v>
      </c>
      <c r="I4" s="114">
        <v>0.098</v>
      </c>
      <c r="J4" s="114">
        <v>0.098</v>
      </c>
      <c r="K4" s="114">
        <v>0.085</v>
      </c>
      <c r="L4" s="114">
        <v>0.085</v>
      </c>
      <c r="M4" s="114">
        <v>0.085</v>
      </c>
      <c r="N4" s="114">
        <v>0.085</v>
      </c>
      <c r="O4" s="114">
        <v>0.085</v>
      </c>
      <c r="P4" s="114">
        <v>0.085</v>
      </c>
    </row>
    <row r="5" spans="2:16" ht="23.25" customHeight="1" thickBot="1">
      <c r="B5" s="17" t="s">
        <v>529</v>
      </c>
      <c r="C5" s="73" t="s">
        <v>149</v>
      </c>
      <c r="D5" s="114">
        <v>0.04655</v>
      </c>
      <c r="E5" s="114">
        <v>0.04655</v>
      </c>
      <c r="F5" s="114">
        <v>0.04655</v>
      </c>
      <c r="G5" s="114">
        <v>0.04655</v>
      </c>
      <c r="H5" s="114">
        <v>0.04655</v>
      </c>
      <c r="I5" s="114">
        <v>0.04655</v>
      </c>
      <c r="J5" s="114">
        <v>0.04655</v>
      </c>
      <c r="K5" s="114">
        <v>0.04655</v>
      </c>
      <c r="L5" s="114">
        <v>0.04655</v>
      </c>
      <c r="M5" s="114">
        <v>0.04655</v>
      </c>
      <c r="N5" s="114">
        <v>0.03915</v>
      </c>
      <c r="O5" s="114">
        <v>0.03915</v>
      </c>
      <c r="P5" s="114">
        <v>0.03915</v>
      </c>
    </row>
    <row r="6" spans="2:16" ht="33" customHeight="1" thickBot="1">
      <c r="B6" s="17" t="s">
        <v>530</v>
      </c>
      <c r="C6" s="73" t="s">
        <v>149</v>
      </c>
      <c r="D6" s="114">
        <f>'25_Calcul direct tb 91-2000'!D19</f>
        <v>0.04542928917082075</v>
      </c>
      <c r="E6" s="114">
        <f>'25_Calcul direct tb 91-2000'!E19</f>
        <v>0.04541074139667098</v>
      </c>
      <c r="F6" s="114">
        <f>'25_Calcul direct tb 91-2000'!F19</f>
        <v>0.045410623429603336</v>
      </c>
      <c r="G6" s="114">
        <f>'25_Calcul direct tb 91-2000'!G19</f>
        <v>0.04537641709716745</v>
      </c>
      <c r="H6" s="114">
        <f>'25_Calcul direct tb 91-2000'!H19</f>
        <v>0.045393646826233314</v>
      </c>
      <c r="I6" s="114">
        <f>'25_Calcul direct tb 91-2000'!I19</f>
        <v>0.045393646826233314</v>
      </c>
      <c r="J6" s="114">
        <f>'25_Calcul direct tb 91-2000'!J19</f>
        <v>0.045393646826233314</v>
      </c>
      <c r="K6" s="114">
        <f>'25_Calcul direct tb 91-2000'!K19</f>
        <v>0.045446339424293186</v>
      </c>
      <c r="L6" s="114">
        <f>'25_Calcul direct tb 91-2000'!L19</f>
        <v>0.04544642474791006</v>
      </c>
      <c r="M6" s="114">
        <f>'25_Calcul direct tb 91-2000'!M19</f>
        <v>0.04544642474791006</v>
      </c>
      <c r="N6" s="114">
        <f>'28_Calcul direct tb 2001-2004'!D18</f>
        <v>0.038940964361990474</v>
      </c>
      <c r="O6" s="114">
        <f>'28_Calcul direct tb 2001-2004'!E18</f>
        <v>0.038940964361990474</v>
      </c>
      <c r="P6" s="114">
        <f>'28_Calcul direct tb 2001-2004'!F18</f>
        <v>0.03894280774924832</v>
      </c>
    </row>
    <row r="7" spans="2:16" ht="26.25" thickBot="1">
      <c r="B7" s="17" t="s">
        <v>530</v>
      </c>
      <c r="C7" s="73" t="s">
        <v>149</v>
      </c>
      <c r="D7" s="116">
        <f>'26_Recalcul direct tb 91-2000'!D19</f>
        <v>0.0454471888667232</v>
      </c>
      <c r="E7" s="116">
        <f>'26_Recalcul direct tb 91-2000'!E19</f>
        <v>0.04542937205164503</v>
      </c>
      <c r="F7" s="116">
        <f>'26_Recalcul direct tb 91-2000'!F19</f>
        <v>0.045429258778904386</v>
      </c>
      <c r="G7" s="116">
        <f>'26_Recalcul direct tb 91-2000'!G19</f>
        <v>0.04539643779221427</v>
      </c>
      <c r="H7" s="114">
        <f>'26_Recalcul direct tb 91-2000'!H19</f>
        <v>0.04541296826653552</v>
      </c>
      <c r="I7" s="114">
        <f>'26_Recalcul direct tb 91-2000'!I19</f>
        <v>0.04541296826653552</v>
      </c>
      <c r="J7" s="114">
        <f>'26_Recalcul direct tb 91-2000'!J19</f>
        <v>0.04541296826653552</v>
      </c>
      <c r="K7" s="114">
        <f>'26_Recalcul direct tb 91-2000'!K19</f>
        <v>0.045464750654390984</v>
      </c>
      <c r="L7" s="114">
        <f>'26_Recalcul direct tb 91-2000'!L19</f>
        <v>0.04546483261637598</v>
      </c>
      <c r="M7" s="114">
        <f>'26_Recalcul direct tb 91-2000'!M19</f>
        <v>0.04546483261637598</v>
      </c>
      <c r="N7" s="114">
        <f>'29_Recalcul direct tb 2001-2004'!D18</f>
        <v>0.03894171917436863</v>
      </c>
      <c r="O7" s="114">
        <f>'29_Recalcul direct tb 2001-2004'!E18</f>
        <v>0.03894171917436863</v>
      </c>
      <c r="P7" s="114">
        <f>'29_Recalcul direct tb 2001-2004'!F18</f>
        <v>0.03894355446723998</v>
      </c>
    </row>
    <row r="8" spans="2:16" ht="18" thickBot="1">
      <c r="B8" s="82" t="s">
        <v>532</v>
      </c>
      <c r="C8" s="220" t="s">
        <v>149</v>
      </c>
      <c r="D8" s="116">
        <f>'33_retrouver tb quand tk donné'!D21</f>
        <v>0.04544681310539506</v>
      </c>
      <c r="E8" s="116">
        <f>'33_retrouver tb quand tk donné'!E21</f>
        <v>0.045432476991881035</v>
      </c>
      <c r="F8" s="116">
        <f>'33_retrouver tb quand tk donné'!F21</f>
        <v>0.04543468753538675</v>
      </c>
      <c r="G8" s="116">
        <f>'33_retrouver tb quand tk donné'!G21</f>
        <v>0.045400420496853944</v>
      </c>
      <c r="H8" s="116">
        <f>'33_retrouver tb quand tk donné'!H21</f>
        <v>0.045416778595816616</v>
      </c>
      <c r="I8" s="116">
        <f>'33_retrouver tb quand tk donné'!I21</f>
        <v>0.045416778595816616</v>
      </c>
      <c r="J8" s="116">
        <f>'33_retrouver tb quand tk donné'!J21</f>
        <v>0.04541020760758895</v>
      </c>
      <c r="K8" s="116">
        <f>'33_retrouver tb quand tk donné'!K21</f>
        <v>0.04546917777843973</v>
      </c>
      <c r="L8" s="116">
        <f>'33_retrouver tb quand tk donné'!L21</f>
        <v>0.04546774470181159</v>
      </c>
      <c r="M8" s="116">
        <f>'33_retrouver tb quand tk donné'!M21</f>
        <v>0.04546774470181159</v>
      </c>
      <c r="N8" s="116">
        <f>'33_retrouver tb quand tk donné'!N21</f>
        <v>0.038937091292751184</v>
      </c>
      <c r="O8" s="116">
        <f>'33_retrouver tb quand tk donné'!O21</f>
        <v>0.038937091292751184</v>
      </c>
      <c r="P8" s="116">
        <f>'33_retrouver tb quand tk donné'!P21</f>
        <v>0.03893853771544451</v>
      </c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P12"/>
  <sheetViews>
    <sheetView workbookViewId="0" topLeftCell="I1">
      <selection activeCell="O15" sqref="O15"/>
    </sheetView>
  </sheetViews>
  <sheetFormatPr defaultColWidth="12" defaultRowHeight="11.25"/>
  <cols>
    <col min="1" max="1" width="10.5" style="0" customWidth="1"/>
    <col min="2" max="2" width="39" style="0" customWidth="1"/>
    <col min="3" max="3" width="27.83203125" style="0" customWidth="1"/>
    <col min="4" max="4" width="11.16015625" style="0" customWidth="1"/>
    <col min="5" max="5" width="10.66015625" style="0" customWidth="1"/>
    <col min="6" max="6" width="10.16015625" style="0" customWidth="1"/>
    <col min="7" max="7" width="10" style="0" customWidth="1"/>
    <col min="8" max="8" width="12.16015625" style="0" customWidth="1"/>
    <col min="9" max="9" width="10.66015625" style="0" customWidth="1"/>
    <col min="10" max="10" width="11.16015625" style="0" customWidth="1"/>
    <col min="11" max="11" width="10.5" style="0" customWidth="1"/>
    <col min="12" max="12" width="10.83203125" style="0" customWidth="1"/>
    <col min="13" max="13" width="11.5" style="0" customWidth="1"/>
    <col min="14" max="14" width="10.5" style="0" customWidth="1"/>
    <col min="15" max="15" width="10" style="0" customWidth="1"/>
    <col min="16" max="16" width="11.16015625" style="0" customWidth="1"/>
    <col min="17" max="16384" width="27" style="0" customWidth="1"/>
  </cols>
  <sheetData>
    <row r="1" ht="11.25">
      <c r="A1" s="122" t="s">
        <v>318</v>
      </c>
    </row>
    <row r="2" ht="12" thickBot="1"/>
    <row r="3" spans="2:16" ht="13.5" thickBot="1">
      <c r="B3" s="260" t="s">
        <v>547</v>
      </c>
      <c r="C3" s="261"/>
      <c r="D3" s="91">
        <v>1991</v>
      </c>
      <c r="E3" s="91">
        <f>D3+1</f>
        <v>1992</v>
      </c>
      <c r="F3" s="91">
        <f aca="true" t="shared" si="0" ref="F3:P3">E3+1</f>
        <v>1993</v>
      </c>
      <c r="G3" s="91">
        <f t="shared" si="0"/>
        <v>1994</v>
      </c>
      <c r="H3" s="91">
        <f t="shared" si="0"/>
        <v>1995</v>
      </c>
      <c r="I3" s="91">
        <f t="shared" si="0"/>
        <v>1996</v>
      </c>
      <c r="J3" s="91">
        <f t="shared" si="0"/>
        <v>1997</v>
      </c>
      <c r="K3" s="91">
        <f t="shared" si="0"/>
        <v>1998</v>
      </c>
      <c r="L3" s="91">
        <f t="shared" si="0"/>
        <v>1999</v>
      </c>
      <c r="M3" s="91">
        <f t="shared" si="0"/>
        <v>2000</v>
      </c>
      <c r="N3" s="91">
        <f t="shared" si="0"/>
        <v>2001</v>
      </c>
      <c r="O3" s="91">
        <f t="shared" si="0"/>
        <v>2002</v>
      </c>
      <c r="P3" s="44">
        <f t="shared" si="0"/>
        <v>2003</v>
      </c>
    </row>
    <row r="4" spans="2:16" ht="20.25" customHeight="1" thickBot="1">
      <c r="B4" s="129" t="s">
        <v>238</v>
      </c>
      <c r="C4" s="58" t="s">
        <v>160</v>
      </c>
      <c r="D4" s="116">
        <f>0.825/1000</f>
        <v>0.000825</v>
      </c>
      <c r="E4" s="116">
        <f>0.825/1000</f>
        <v>0.000825</v>
      </c>
      <c r="F4" s="116">
        <f>0.825/1000</f>
        <v>0.000825</v>
      </c>
      <c r="G4" s="116">
        <f>0.825/1000</f>
        <v>0.000825</v>
      </c>
      <c r="H4" s="116">
        <f>0.8/1000</f>
        <v>0.0008</v>
      </c>
      <c r="I4" s="116">
        <f>0.8/1000</f>
        <v>0.0008</v>
      </c>
      <c r="J4" s="116">
        <f>0.8/1000</f>
        <v>0.0008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</row>
    <row r="5" spans="2:16" ht="23.25" customHeight="1" thickBot="1">
      <c r="B5" s="82" t="s">
        <v>239</v>
      </c>
      <c r="C5" s="68" t="s">
        <v>240</v>
      </c>
      <c r="D5" s="196">
        <v>0.0009355</v>
      </c>
      <c r="E5" s="196">
        <v>0.0009355</v>
      </c>
      <c r="F5" s="196">
        <v>0.0009355</v>
      </c>
      <c r="G5" s="196">
        <v>0.0009355</v>
      </c>
      <c r="H5" s="196">
        <v>0.0009355</v>
      </c>
      <c r="I5" s="196">
        <v>0.0009355</v>
      </c>
      <c r="J5" s="196">
        <v>0.0009355</v>
      </c>
      <c r="K5" s="196">
        <v>0.0009355</v>
      </c>
      <c r="L5" s="196">
        <v>0.0009355</v>
      </c>
      <c r="M5" s="196">
        <v>0.0009355</v>
      </c>
      <c r="N5" s="116">
        <f>0.5/1000</f>
        <v>0.0005</v>
      </c>
      <c r="O5" s="116">
        <f>0.5/1000</f>
        <v>0.0005</v>
      </c>
      <c r="P5" s="116">
        <f>0.3/1000</f>
        <v>0.0003</v>
      </c>
    </row>
    <row r="12" ht="11.25">
      <c r="B12" s="145"/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0"/>
  <dimension ref="B5:C14"/>
  <sheetViews>
    <sheetView workbookViewId="0" topLeftCell="A1">
      <selection activeCell="B6" sqref="B6:C6"/>
    </sheetView>
  </sheetViews>
  <sheetFormatPr defaultColWidth="12" defaultRowHeight="11.25"/>
  <cols>
    <col min="2" max="2" width="48.66015625" style="0" customWidth="1"/>
    <col min="3" max="3" width="17.33203125" style="0" customWidth="1"/>
  </cols>
  <sheetData>
    <row r="4" ht="12" thickBot="1"/>
    <row r="5" spans="2:3" ht="34.5" customHeight="1" thickBot="1">
      <c r="B5" s="249" t="s">
        <v>0</v>
      </c>
      <c r="C5" s="263"/>
    </row>
    <row r="6" spans="2:3" ht="13.5" customHeight="1" thickBot="1">
      <c r="B6" s="264" t="s">
        <v>512</v>
      </c>
      <c r="C6" s="265"/>
    </row>
    <row r="7" spans="2:3" ht="14.25" customHeight="1" thickBot="1">
      <c r="B7" s="249" t="s">
        <v>513</v>
      </c>
      <c r="C7" s="262"/>
    </row>
    <row r="8" spans="2:3" ht="36.75" customHeight="1" thickBot="1">
      <c r="B8" s="99" t="s">
        <v>476</v>
      </c>
      <c r="C8" s="158">
        <v>0.0006</v>
      </c>
    </row>
    <row r="9" spans="2:3" ht="24" customHeight="1" thickBot="1">
      <c r="B9" s="6" t="s">
        <v>477</v>
      </c>
      <c r="C9" s="5">
        <v>0.00085</v>
      </c>
    </row>
    <row r="10" spans="2:3" ht="24.75" customHeight="1" thickBot="1">
      <c r="B10" s="6" t="s">
        <v>478</v>
      </c>
      <c r="C10" s="5">
        <v>0.001</v>
      </c>
    </row>
    <row r="11" spans="2:3" ht="15" customHeight="1" thickBot="1">
      <c r="B11" s="264" t="s">
        <v>514</v>
      </c>
      <c r="C11" s="265"/>
    </row>
    <row r="12" spans="2:3" ht="12.75" customHeight="1" thickBot="1">
      <c r="B12" s="249" t="s">
        <v>515</v>
      </c>
      <c r="C12" s="262"/>
    </row>
    <row r="13" spans="2:3" ht="24.75" customHeight="1" thickBot="1">
      <c r="B13" s="44" t="s">
        <v>322</v>
      </c>
      <c r="C13" s="47">
        <f>0.5/1000</f>
        <v>0.0005</v>
      </c>
    </row>
    <row r="14" spans="2:3" ht="24.75" customHeight="1" thickBot="1">
      <c r="B14" s="44" t="s">
        <v>516</v>
      </c>
      <c r="C14" s="47">
        <f>0.3/1000</f>
        <v>0.0003</v>
      </c>
    </row>
  </sheetData>
  <mergeCells count="5">
    <mergeCell ref="B12:C12"/>
    <mergeCell ref="B5:C5"/>
    <mergeCell ref="B6:C6"/>
    <mergeCell ref="B7:C7"/>
    <mergeCell ref="B11:C11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1"/>
  <dimension ref="B3:W25"/>
  <sheetViews>
    <sheetView workbookViewId="0" topLeftCell="N1">
      <selection activeCell="Y14" sqref="Y14"/>
    </sheetView>
  </sheetViews>
  <sheetFormatPr defaultColWidth="12" defaultRowHeight="11.25"/>
  <cols>
    <col min="1" max="1" width="9.33203125" style="0" customWidth="1"/>
    <col min="2" max="2" width="60.33203125" style="0" customWidth="1"/>
    <col min="3" max="3" width="33" style="0" customWidth="1"/>
    <col min="4" max="16384" width="13.5" style="0" customWidth="1"/>
  </cols>
  <sheetData>
    <row r="2" ht="12" thickBot="1"/>
    <row r="3" spans="2:23" ht="36.75" customHeight="1" thickBot="1">
      <c r="B3" s="258" t="s">
        <v>1</v>
      </c>
      <c r="C3" s="243"/>
      <c r="D3" s="266">
        <v>1991</v>
      </c>
      <c r="E3" s="267"/>
      <c r="F3" s="266">
        <f>D3+1</f>
        <v>1992</v>
      </c>
      <c r="G3" s="267"/>
      <c r="H3" s="266">
        <f>F3+1</f>
        <v>1993</v>
      </c>
      <c r="I3" s="267"/>
      <c r="J3" s="266">
        <f>H3+1</f>
        <v>1994</v>
      </c>
      <c r="K3" s="267"/>
      <c r="L3" s="266">
        <f>J3+1</f>
        <v>1995</v>
      </c>
      <c r="M3" s="267"/>
      <c r="N3" s="266">
        <f>L3+1</f>
        <v>1996</v>
      </c>
      <c r="O3" s="267"/>
      <c r="P3" s="266">
        <f>N3+1</f>
        <v>1997</v>
      </c>
      <c r="Q3" s="267"/>
      <c r="R3" s="266">
        <f>P3+1</f>
        <v>1998</v>
      </c>
      <c r="S3" s="267"/>
      <c r="T3" s="266">
        <f>R3+1</f>
        <v>1999</v>
      </c>
      <c r="U3" s="267"/>
      <c r="V3" s="266">
        <f>T3+1</f>
        <v>2000</v>
      </c>
      <c r="W3" s="267"/>
    </row>
    <row r="4" spans="2:23" ht="27" customHeight="1" thickBot="1">
      <c r="B4" s="6" t="s">
        <v>368</v>
      </c>
      <c r="C4" s="154" t="s">
        <v>91</v>
      </c>
      <c r="D4" s="172">
        <v>2000000</v>
      </c>
      <c r="E4" s="172">
        <v>1000000</v>
      </c>
      <c r="F4" s="172">
        <v>2000000</v>
      </c>
      <c r="G4" s="172">
        <v>1000000</v>
      </c>
      <c r="H4" s="172">
        <v>2000000</v>
      </c>
      <c r="I4" s="172">
        <v>1000000</v>
      </c>
      <c r="J4" s="172">
        <v>2000000</v>
      </c>
      <c r="K4" s="172">
        <v>1000000</v>
      </c>
      <c r="L4" s="172">
        <v>2000000</v>
      </c>
      <c r="M4" s="172">
        <v>1000000</v>
      </c>
      <c r="N4" s="172">
        <v>2000000</v>
      </c>
      <c r="O4" s="172">
        <v>1000000</v>
      </c>
      <c r="P4" s="172">
        <v>2000000</v>
      </c>
      <c r="Q4" s="172">
        <v>1000000</v>
      </c>
      <c r="R4" s="172">
        <v>2000000</v>
      </c>
      <c r="S4" s="172">
        <v>1000000</v>
      </c>
      <c r="T4" s="172">
        <v>2000000</v>
      </c>
      <c r="U4" s="172">
        <v>1000000</v>
      </c>
      <c r="V4" s="172">
        <v>2000000</v>
      </c>
      <c r="W4" s="172">
        <v>1000000</v>
      </c>
    </row>
    <row r="5" spans="2:23" ht="13.5" thickBot="1">
      <c r="B5" s="99" t="s">
        <v>444</v>
      </c>
      <c r="C5" s="99" t="s">
        <v>445</v>
      </c>
      <c r="D5" s="174">
        <v>210000</v>
      </c>
      <c r="E5" s="174">
        <v>210000</v>
      </c>
      <c r="F5" s="174">
        <v>210000</v>
      </c>
      <c r="G5" s="174">
        <v>210000</v>
      </c>
      <c r="H5" s="174">
        <v>210000</v>
      </c>
      <c r="I5" s="174">
        <v>210000</v>
      </c>
      <c r="J5" s="174">
        <v>210000</v>
      </c>
      <c r="K5" s="174">
        <v>210000</v>
      </c>
      <c r="L5" s="174">
        <v>210000</v>
      </c>
      <c r="M5" s="174">
        <v>210000</v>
      </c>
      <c r="N5" s="174">
        <v>210000</v>
      </c>
      <c r="O5" s="174">
        <v>210000</v>
      </c>
      <c r="P5" s="174">
        <v>210000</v>
      </c>
      <c r="Q5" s="174">
        <v>210000</v>
      </c>
      <c r="R5" s="174">
        <v>210000</v>
      </c>
      <c r="S5" s="174">
        <v>210000</v>
      </c>
      <c r="T5" s="174">
        <v>210000</v>
      </c>
      <c r="U5" s="174">
        <v>210000</v>
      </c>
      <c r="V5" s="174">
        <v>210000</v>
      </c>
      <c r="W5" s="174">
        <v>210000</v>
      </c>
    </row>
    <row r="6" spans="2:23" ht="23.25" customHeight="1" thickBot="1">
      <c r="B6" s="99" t="s">
        <v>446</v>
      </c>
      <c r="C6" s="155" t="s">
        <v>447</v>
      </c>
      <c r="D6" s="173">
        <v>0.0006</v>
      </c>
      <c r="E6" s="173">
        <v>0.0006</v>
      </c>
      <c r="F6" s="173">
        <v>0.0006</v>
      </c>
      <c r="G6" s="173">
        <v>0.0006</v>
      </c>
      <c r="H6" s="173">
        <v>0.0006</v>
      </c>
      <c r="I6" s="173">
        <v>0.0006</v>
      </c>
      <c r="J6" s="173">
        <v>0.0006</v>
      </c>
      <c r="K6" s="173">
        <v>0.0006</v>
      </c>
      <c r="L6" s="173">
        <v>0.0006</v>
      </c>
      <c r="M6" s="173">
        <v>0.0006</v>
      </c>
      <c r="N6" s="173">
        <v>0.0006</v>
      </c>
      <c r="O6" s="173">
        <v>0.0006</v>
      </c>
      <c r="P6" s="173">
        <v>0.0006</v>
      </c>
      <c r="Q6" s="173">
        <v>0.0006</v>
      </c>
      <c r="R6" s="173">
        <v>0.0006</v>
      </c>
      <c r="S6" s="173">
        <v>0.0006</v>
      </c>
      <c r="T6" s="173">
        <v>0.0006</v>
      </c>
      <c r="U6" s="173">
        <v>0.0006</v>
      </c>
      <c r="V6" s="173">
        <v>0.0006</v>
      </c>
      <c r="W6" s="173">
        <v>0.0006</v>
      </c>
    </row>
    <row r="7" spans="2:23" ht="25.5" customHeight="1" thickBot="1">
      <c r="B7" s="99" t="s">
        <v>448</v>
      </c>
      <c r="C7" s="155" t="s">
        <v>449</v>
      </c>
      <c r="D7" s="174">
        <f aca="true" t="shared" si="0" ref="D7:W7">D5*D6</f>
        <v>125.99999999999999</v>
      </c>
      <c r="E7" s="174">
        <f t="shared" si="0"/>
        <v>125.99999999999999</v>
      </c>
      <c r="F7" s="174">
        <f t="shared" si="0"/>
        <v>125.99999999999999</v>
      </c>
      <c r="G7" s="174">
        <f t="shared" si="0"/>
        <v>125.99999999999999</v>
      </c>
      <c r="H7" s="174">
        <f t="shared" si="0"/>
        <v>125.99999999999999</v>
      </c>
      <c r="I7" s="174">
        <f t="shared" si="0"/>
        <v>125.99999999999999</v>
      </c>
      <c r="J7" s="174">
        <f t="shared" si="0"/>
        <v>125.99999999999999</v>
      </c>
      <c r="K7" s="174">
        <f t="shared" si="0"/>
        <v>125.99999999999999</v>
      </c>
      <c r="L7" s="174">
        <f t="shared" si="0"/>
        <v>125.99999999999999</v>
      </c>
      <c r="M7" s="174">
        <f t="shared" si="0"/>
        <v>125.99999999999999</v>
      </c>
      <c r="N7" s="174">
        <f t="shared" si="0"/>
        <v>125.99999999999999</v>
      </c>
      <c r="O7" s="174">
        <f t="shared" si="0"/>
        <v>125.99999999999999</v>
      </c>
      <c r="P7" s="174">
        <f t="shared" si="0"/>
        <v>125.99999999999999</v>
      </c>
      <c r="Q7" s="174">
        <f t="shared" si="0"/>
        <v>125.99999999999999</v>
      </c>
      <c r="R7" s="174">
        <f t="shared" si="0"/>
        <v>125.99999999999999</v>
      </c>
      <c r="S7" s="174">
        <f t="shared" si="0"/>
        <v>125.99999999999999</v>
      </c>
      <c r="T7" s="174">
        <f t="shared" si="0"/>
        <v>125.99999999999999</v>
      </c>
      <c r="U7" s="174">
        <f t="shared" si="0"/>
        <v>125.99999999999999</v>
      </c>
      <c r="V7" s="174">
        <f t="shared" si="0"/>
        <v>125.99999999999999</v>
      </c>
      <c r="W7" s="174">
        <f t="shared" si="0"/>
        <v>125.99999999999999</v>
      </c>
    </row>
    <row r="8" spans="2:23" ht="22.5" customHeight="1" thickBot="1">
      <c r="B8" s="6" t="s">
        <v>450</v>
      </c>
      <c r="C8" s="6" t="s">
        <v>451</v>
      </c>
      <c r="D8" s="193">
        <v>510000</v>
      </c>
      <c r="E8" s="193">
        <v>510000</v>
      </c>
      <c r="F8" s="193">
        <v>510000</v>
      </c>
      <c r="G8" s="193">
        <v>510000</v>
      </c>
      <c r="H8" s="193">
        <v>510000</v>
      </c>
      <c r="I8" s="193">
        <v>510000</v>
      </c>
      <c r="J8" s="193">
        <v>510000</v>
      </c>
      <c r="K8" s="193">
        <v>510000</v>
      </c>
      <c r="L8" s="193">
        <v>510000</v>
      </c>
      <c r="M8" s="193">
        <v>510000</v>
      </c>
      <c r="N8" s="193">
        <v>510000</v>
      </c>
      <c r="O8" s="193">
        <v>510000</v>
      </c>
      <c r="P8" s="193">
        <v>510000</v>
      </c>
      <c r="Q8" s="193">
        <v>510000</v>
      </c>
      <c r="R8" s="193">
        <v>510000</v>
      </c>
      <c r="S8" s="193">
        <v>510000</v>
      </c>
      <c r="T8" s="193">
        <v>510000</v>
      </c>
      <c r="U8" s="193">
        <v>510000</v>
      </c>
      <c r="V8" s="193">
        <v>510000</v>
      </c>
      <c r="W8" s="193">
        <v>510000</v>
      </c>
    </row>
    <row r="9" spans="2:23" ht="24" customHeight="1" thickBot="1">
      <c r="B9" s="6" t="s">
        <v>452</v>
      </c>
      <c r="C9" s="6" t="s">
        <v>453</v>
      </c>
      <c r="D9" s="193">
        <f aca="true" t="shared" si="1" ref="D9:W9">D8-D5</f>
        <v>300000</v>
      </c>
      <c r="E9" s="193">
        <f t="shared" si="1"/>
        <v>300000</v>
      </c>
      <c r="F9" s="193">
        <f t="shared" si="1"/>
        <v>300000</v>
      </c>
      <c r="G9" s="193">
        <f t="shared" si="1"/>
        <v>300000</v>
      </c>
      <c r="H9" s="193">
        <f t="shared" si="1"/>
        <v>300000</v>
      </c>
      <c r="I9" s="193">
        <f t="shared" si="1"/>
        <v>300000</v>
      </c>
      <c r="J9" s="193">
        <f t="shared" si="1"/>
        <v>300000</v>
      </c>
      <c r="K9" s="193">
        <f t="shared" si="1"/>
        <v>300000</v>
      </c>
      <c r="L9" s="193">
        <f t="shared" si="1"/>
        <v>300000</v>
      </c>
      <c r="M9" s="193">
        <f t="shared" si="1"/>
        <v>300000</v>
      </c>
      <c r="N9" s="193">
        <f t="shared" si="1"/>
        <v>300000</v>
      </c>
      <c r="O9" s="193">
        <f t="shared" si="1"/>
        <v>300000</v>
      </c>
      <c r="P9" s="193">
        <f t="shared" si="1"/>
        <v>300000</v>
      </c>
      <c r="Q9" s="193">
        <f t="shared" si="1"/>
        <v>300000</v>
      </c>
      <c r="R9" s="193">
        <f t="shared" si="1"/>
        <v>300000</v>
      </c>
      <c r="S9" s="193">
        <f t="shared" si="1"/>
        <v>300000</v>
      </c>
      <c r="T9" s="193">
        <f t="shared" si="1"/>
        <v>300000</v>
      </c>
      <c r="U9" s="193">
        <f t="shared" si="1"/>
        <v>300000</v>
      </c>
      <c r="V9" s="193">
        <f t="shared" si="1"/>
        <v>300000</v>
      </c>
      <c r="W9" s="193">
        <f t="shared" si="1"/>
        <v>300000</v>
      </c>
    </row>
    <row r="10" spans="2:23" ht="18" thickBot="1">
      <c r="B10" s="6" t="s">
        <v>454</v>
      </c>
      <c r="C10" s="156" t="s">
        <v>455</v>
      </c>
      <c r="D10" s="194">
        <v>0.00085</v>
      </c>
      <c r="E10" s="194">
        <v>0.00085</v>
      </c>
      <c r="F10" s="194">
        <v>0.00085</v>
      </c>
      <c r="G10" s="194">
        <v>0.00085</v>
      </c>
      <c r="H10" s="194">
        <v>0.00085</v>
      </c>
      <c r="I10" s="194">
        <v>0.00085</v>
      </c>
      <c r="J10" s="194">
        <v>0.00085</v>
      </c>
      <c r="K10" s="194">
        <v>0.00085</v>
      </c>
      <c r="L10" s="194">
        <v>0.00085</v>
      </c>
      <c r="M10" s="194">
        <v>0.00085</v>
      </c>
      <c r="N10" s="194">
        <v>0.00085</v>
      </c>
      <c r="O10" s="194">
        <v>0.00085</v>
      </c>
      <c r="P10" s="194">
        <v>0.00085</v>
      </c>
      <c r="Q10" s="194">
        <v>0.00085</v>
      </c>
      <c r="R10" s="194">
        <v>0.00085</v>
      </c>
      <c r="S10" s="194">
        <v>0.00085</v>
      </c>
      <c r="T10" s="194">
        <v>0.00085</v>
      </c>
      <c r="U10" s="194">
        <v>0.00085</v>
      </c>
      <c r="V10" s="194">
        <v>0.00085</v>
      </c>
      <c r="W10" s="194">
        <v>0.00085</v>
      </c>
    </row>
    <row r="11" spans="2:23" ht="29.25" customHeight="1" thickBot="1">
      <c r="B11" s="6" t="s">
        <v>456</v>
      </c>
      <c r="C11" s="156" t="s">
        <v>457</v>
      </c>
      <c r="D11" s="193">
        <f aca="true" t="shared" si="2" ref="D11:W11">D10*D9</f>
        <v>255</v>
      </c>
      <c r="E11" s="193">
        <f t="shared" si="2"/>
        <v>255</v>
      </c>
      <c r="F11" s="193">
        <f t="shared" si="2"/>
        <v>255</v>
      </c>
      <c r="G11" s="193">
        <f t="shared" si="2"/>
        <v>255</v>
      </c>
      <c r="H11" s="193">
        <f t="shared" si="2"/>
        <v>255</v>
      </c>
      <c r="I11" s="193">
        <f t="shared" si="2"/>
        <v>255</v>
      </c>
      <c r="J11" s="193">
        <f t="shared" si="2"/>
        <v>255</v>
      </c>
      <c r="K11" s="193">
        <f t="shared" si="2"/>
        <v>255</v>
      </c>
      <c r="L11" s="193">
        <f t="shared" si="2"/>
        <v>255</v>
      </c>
      <c r="M11" s="193">
        <f t="shared" si="2"/>
        <v>255</v>
      </c>
      <c r="N11" s="193">
        <f t="shared" si="2"/>
        <v>255</v>
      </c>
      <c r="O11" s="193">
        <f t="shared" si="2"/>
        <v>255</v>
      </c>
      <c r="P11" s="193">
        <f t="shared" si="2"/>
        <v>255</v>
      </c>
      <c r="Q11" s="193">
        <f t="shared" si="2"/>
        <v>255</v>
      </c>
      <c r="R11" s="193">
        <f t="shared" si="2"/>
        <v>255</v>
      </c>
      <c r="S11" s="193">
        <f t="shared" si="2"/>
        <v>255</v>
      </c>
      <c r="T11" s="193">
        <f t="shared" si="2"/>
        <v>255</v>
      </c>
      <c r="U11" s="193">
        <f t="shared" si="2"/>
        <v>255</v>
      </c>
      <c r="V11" s="193">
        <f t="shared" si="2"/>
        <v>255</v>
      </c>
      <c r="W11" s="193">
        <f t="shared" si="2"/>
        <v>255</v>
      </c>
    </row>
    <row r="12" spans="2:23" ht="31.5" customHeight="1" thickBot="1">
      <c r="B12" s="6" t="s">
        <v>458</v>
      </c>
      <c r="C12" s="6" t="s">
        <v>459</v>
      </c>
      <c r="D12" s="193">
        <f aca="true" t="shared" si="3" ref="D12:W12">D4-D5-D9</f>
        <v>1490000</v>
      </c>
      <c r="E12" s="193">
        <f t="shared" si="3"/>
        <v>490000</v>
      </c>
      <c r="F12" s="193">
        <f t="shared" si="3"/>
        <v>1490000</v>
      </c>
      <c r="G12" s="193">
        <f t="shared" si="3"/>
        <v>490000</v>
      </c>
      <c r="H12" s="193">
        <f t="shared" si="3"/>
        <v>1490000</v>
      </c>
      <c r="I12" s="193">
        <f t="shared" si="3"/>
        <v>490000</v>
      </c>
      <c r="J12" s="193">
        <f t="shared" si="3"/>
        <v>1490000</v>
      </c>
      <c r="K12" s="193">
        <f t="shared" si="3"/>
        <v>490000</v>
      </c>
      <c r="L12" s="193">
        <f t="shared" si="3"/>
        <v>1490000</v>
      </c>
      <c r="M12" s="193">
        <f t="shared" si="3"/>
        <v>490000</v>
      </c>
      <c r="N12" s="193">
        <f t="shared" si="3"/>
        <v>1490000</v>
      </c>
      <c r="O12" s="193">
        <f t="shared" si="3"/>
        <v>490000</v>
      </c>
      <c r="P12" s="193">
        <f t="shared" si="3"/>
        <v>1490000</v>
      </c>
      <c r="Q12" s="193">
        <f t="shared" si="3"/>
        <v>490000</v>
      </c>
      <c r="R12" s="193">
        <f t="shared" si="3"/>
        <v>1490000</v>
      </c>
      <c r="S12" s="193">
        <f t="shared" si="3"/>
        <v>490000</v>
      </c>
      <c r="T12" s="193">
        <f t="shared" si="3"/>
        <v>1490000</v>
      </c>
      <c r="U12" s="193">
        <f t="shared" si="3"/>
        <v>490000</v>
      </c>
      <c r="V12" s="193">
        <f t="shared" si="3"/>
        <v>1490000</v>
      </c>
      <c r="W12" s="193">
        <f t="shared" si="3"/>
        <v>490000</v>
      </c>
    </row>
    <row r="13" spans="2:23" ht="18" thickBot="1">
      <c r="B13" s="6" t="s">
        <v>460</v>
      </c>
      <c r="C13" s="156" t="s">
        <v>461</v>
      </c>
      <c r="D13" s="194">
        <v>0.001</v>
      </c>
      <c r="E13" s="194">
        <v>0.001</v>
      </c>
      <c r="F13" s="194">
        <v>0.001</v>
      </c>
      <c r="G13" s="194">
        <v>0.001</v>
      </c>
      <c r="H13" s="194">
        <v>0.001</v>
      </c>
      <c r="I13" s="194">
        <v>0.001</v>
      </c>
      <c r="J13" s="194">
        <v>0.001</v>
      </c>
      <c r="K13" s="194">
        <v>0.001</v>
      </c>
      <c r="L13" s="194">
        <v>0.001</v>
      </c>
      <c r="M13" s="194">
        <v>0.001</v>
      </c>
      <c r="N13" s="194">
        <v>0.001</v>
      </c>
      <c r="O13" s="194">
        <v>0.001</v>
      </c>
      <c r="P13" s="194">
        <v>0.001</v>
      </c>
      <c r="Q13" s="194">
        <v>0.001</v>
      </c>
      <c r="R13" s="194">
        <v>0.001</v>
      </c>
      <c r="S13" s="194">
        <v>0.001</v>
      </c>
      <c r="T13" s="194">
        <v>0.001</v>
      </c>
      <c r="U13" s="194">
        <v>0.001</v>
      </c>
      <c r="V13" s="194">
        <v>0.001</v>
      </c>
      <c r="W13" s="194">
        <v>0.001</v>
      </c>
    </row>
    <row r="14" spans="2:23" ht="36.75" customHeight="1" thickBot="1">
      <c r="B14" s="6" t="s">
        <v>462</v>
      </c>
      <c r="C14" s="156" t="s">
        <v>463</v>
      </c>
      <c r="D14" s="193">
        <f aca="true" t="shared" si="4" ref="D14:W14">D12*D13</f>
        <v>1490</v>
      </c>
      <c r="E14" s="193">
        <f t="shared" si="4"/>
        <v>490</v>
      </c>
      <c r="F14" s="193">
        <f t="shared" si="4"/>
        <v>1490</v>
      </c>
      <c r="G14" s="193">
        <f t="shared" si="4"/>
        <v>490</v>
      </c>
      <c r="H14" s="193">
        <f t="shared" si="4"/>
        <v>1490</v>
      </c>
      <c r="I14" s="193">
        <f t="shared" si="4"/>
        <v>490</v>
      </c>
      <c r="J14" s="193">
        <f t="shared" si="4"/>
        <v>1490</v>
      </c>
      <c r="K14" s="193">
        <f t="shared" si="4"/>
        <v>490</v>
      </c>
      <c r="L14" s="193">
        <f t="shared" si="4"/>
        <v>1490</v>
      </c>
      <c r="M14" s="193">
        <f t="shared" si="4"/>
        <v>490</v>
      </c>
      <c r="N14" s="193">
        <f t="shared" si="4"/>
        <v>1490</v>
      </c>
      <c r="O14" s="193">
        <f t="shared" si="4"/>
        <v>490</v>
      </c>
      <c r="P14" s="193">
        <f t="shared" si="4"/>
        <v>1490</v>
      </c>
      <c r="Q14" s="193">
        <f t="shared" si="4"/>
        <v>490</v>
      </c>
      <c r="R14" s="193">
        <f t="shared" si="4"/>
        <v>1490</v>
      </c>
      <c r="S14" s="193">
        <f t="shared" si="4"/>
        <v>490</v>
      </c>
      <c r="T14" s="193">
        <f t="shared" si="4"/>
        <v>1490</v>
      </c>
      <c r="U14" s="193">
        <f t="shared" si="4"/>
        <v>490</v>
      </c>
      <c r="V14" s="193">
        <f t="shared" si="4"/>
        <v>1490</v>
      </c>
      <c r="W14" s="193">
        <f t="shared" si="4"/>
        <v>490</v>
      </c>
    </row>
    <row r="15" spans="2:23" ht="39.75" customHeight="1" thickBot="1">
      <c r="B15" s="191" t="s">
        <v>464</v>
      </c>
      <c r="C15" s="192" t="s">
        <v>465</v>
      </c>
      <c r="D15" s="195">
        <f aca="true" t="shared" si="5" ref="D15:W15">D7+D11+D14</f>
        <v>1871</v>
      </c>
      <c r="E15" s="195">
        <f t="shared" si="5"/>
        <v>871</v>
      </c>
      <c r="F15" s="195">
        <f t="shared" si="5"/>
        <v>1871</v>
      </c>
      <c r="G15" s="195">
        <f t="shared" si="5"/>
        <v>871</v>
      </c>
      <c r="H15" s="195">
        <f t="shared" si="5"/>
        <v>1871</v>
      </c>
      <c r="I15" s="195">
        <f t="shared" si="5"/>
        <v>871</v>
      </c>
      <c r="J15" s="195">
        <f t="shared" si="5"/>
        <v>1871</v>
      </c>
      <c r="K15" s="195">
        <f t="shared" si="5"/>
        <v>871</v>
      </c>
      <c r="L15" s="195">
        <f t="shared" si="5"/>
        <v>1871</v>
      </c>
      <c r="M15" s="195">
        <f t="shared" si="5"/>
        <v>871</v>
      </c>
      <c r="N15" s="195">
        <f t="shared" si="5"/>
        <v>1871</v>
      </c>
      <c r="O15" s="195">
        <f t="shared" si="5"/>
        <v>871</v>
      </c>
      <c r="P15" s="195">
        <f t="shared" si="5"/>
        <v>1871</v>
      </c>
      <c r="Q15" s="195">
        <f t="shared" si="5"/>
        <v>871</v>
      </c>
      <c r="R15" s="195">
        <f t="shared" si="5"/>
        <v>1871</v>
      </c>
      <c r="S15" s="195">
        <f t="shared" si="5"/>
        <v>871</v>
      </c>
      <c r="T15" s="195">
        <f t="shared" si="5"/>
        <v>1871</v>
      </c>
      <c r="U15" s="195">
        <f t="shared" si="5"/>
        <v>871</v>
      </c>
      <c r="V15" s="195">
        <f t="shared" si="5"/>
        <v>1871</v>
      </c>
      <c r="W15" s="195">
        <f t="shared" si="5"/>
        <v>871</v>
      </c>
    </row>
    <row r="16" spans="2:23" ht="27" customHeight="1" thickBot="1">
      <c r="B16" s="6" t="s">
        <v>466</v>
      </c>
      <c r="C16" s="156" t="s">
        <v>369</v>
      </c>
      <c r="D16" s="177">
        <f aca="true" t="shared" si="6" ref="D16:W16">D15/D4</f>
        <v>0.0009355</v>
      </c>
      <c r="E16" s="177">
        <f t="shared" si="6"/>
        <v>0.000871</v>
      </c>
      <c r="F16" s="177">
        <f t="shared" si="6"/>
        <v>0.0009355</v>
      </c>
      <c r="G16" s="177">
        <f t="shared" si="6"/>
        <v>0.000871</v>
      </c>
      <c r="H16" s="177">
        <f t="shared" si="6"/>
        <v>0.0009355</v>
      </c>
      <c r="I16" s="177">
        <f t="shared" si="6"/>
        <v>0.000871</v>
      </c>
      <c r="J16" s="177">
        <f t="shared" si="6"/>
        <v>0.0009355</v>
      </c>
      <c r="K16" s="177">
        <f t="shared" si="6"/>
        <v>0.000871</v>
      </c>
      <c r="L16" s="177">
        <f t="shared" si="6"/>
        <v>0.0009355</v>
      </c>
      <c r="M16" s="177">
        <f t="shared" si="6"/>
        <v>0.000871</v>
      </c>
      <c r="N16" s="177">
        <f t="shared" si="6"/>
        <v>0.0009355</v>
      </c>
      <c r="O16" s="177">
        <f t="shared" si="6"/>
        <v>0.000871</v>
      </c>
      <c r="P16" s="177">
        <f t="shared" si="6"/>
        <v>0.0009355</v>
      </c>
      <c r="Q16" s="177">
        <f t="shared" si="6"/>
        <v>0.000871</v>
      </c>
      <c r="R16" s="177">
        <f t="shared" si="6"/>
        <v>0.0009355</v>
      </c>
      <c r="S16" s="177">
        <f t="shared" si="6"/>
        <v>0.000871</v>
      </c>
      <c r="T16" s="177">
        <f t="shared" si="6"/>
        <v>0.0009355</v>
      </c>
      <c r="U16" s="177">
        <f t="shared" si="6"/>
        <v>0.000871</v>
      </c>
      <c r="V16" s="177">
        <f t="shared" si="6"/>
        <v>0.0009355</v>
      </c>
      <c r="W16" s="177">
        <f t="shared" si="6"/>
        <v>0.000871</v>
      </c>
    </row>
    <row r="17" spans="2:23" ht="21.75" customHeight="1" thickBot="1">
      <c r="B17" s="6" t="s">
        <v>467</v>
      </c>
      <c r="C17" s="156" t="s">
        <v>199</v>
      </c>
      <c r="D17" s="176">
        <f>'16_Multiplicateurs '!$D$7</f>
        <v>4.58216</v>
      </c>
      <c r="E17" s="176">
        <f>'16_Multiplicateurs '!$D$7</f>
        <v>4.58216</v>
      </c>
      <c r="F17" s="176">
        <f>'16_Multiplicateurs '!$E$7</f>
        <v>4.69067</v>
      </c>
      <c r="G17" s="176">
        <f>'16_Multiplicateurs '!$E$7</f>
        <v>4.69067</v>
      </c>
      <c r="H17" s="176">
        <f>'16_Multiplicateurs '!$F$7</f>
        <v>4.6913599999999995</v>
      </c>
      <c r="I17" s="176">
        <f>'16_Multiplicateurs '!$F$7</f>
        <v>4.6913599999999995</v>
      </c>
      <c r="J17" s="176">
        <f>'16_Multiplicateurs '!$G$7</f>
        <v>4.891359999999999</v>
      </c>
      <c r="K17" s="176">
        <f>'16_Multiplicateurs '!$G$7</f>
        <v>4.891359999999999</v>
      </c>
      <c r="L17" s="176">
        <f>'16_Multiplicateurs '!$H$7</f>
        <v>4.792</v>
      </c>
      <c r="M17" s="176">
        <f>'16_Multiplicateurs '!$H$7</f>
        <v>4.792</v>
      </c>
      <c r="N17" s="176">
        <f>'16_Multiplicateurs '!$I$7</f>
        <v>4.792</v>
      </c>
      <c r="O17" s="176">
        <f>'16_Multiplicateurs '!$I$7</f>
        <v>4.792</v>
      </c>
      <c r="P17" s="176">
        <f>'16_Multiplicateurs '!$J$7</f>
        <v>4.792</v>
      </c>
      <c r="Q17" s="176">
        <f>'16_Multiplicateurs '!$J$7</f>
        <v>4.792</v>
      </c>
      <c r="R17" s="176">
        <f>'16_Multiplicateurs '!$K$7</f>
        <v>4.792</v>
      </c>
      <c r="S17" s="176">
        <f>'16_Multiplicateurs '!$K$7</f>
        <v>4.792</v>
      </c>
      <c r="T17" s="176">
        <f>'16_Multiplicateurs '!$L$7</f>
        <v>4.791499999999999</v>
      </c>
      <c r="U17" s="176">
        <f>'16_Multiplicateurs '!$L$7</f>
        <v>4.791499999999999</v>
      </c>
      <c r="V17" s="176">
        <f>'16_Multiplicateurs '!$M$7</f>
        <v>4.791499999999999</v>
      </c>
      <c r="W17" s="176">
        <f>'16_Multiplicateurs '!$M$7</f>
        <v>4.791499999999999</v>
      </c>
    </row>
    <row r="18" spans="2:23" ht="27.75" customHeight="1" thickBot="1">
      <c r="B18" s="6" t="s">
        <v>468</v>
      </c>
      <c r="C18" s="156" t="s">
        <v>370</v>
      </c>
      <c r="D18" s="177">
        <f aca="true" t="shared" si="7" ref="D18:W18">D17*D16</f>
        <v>0.0042866106800000005</v>
      </c>
      <c r="E18" s="177">
        <f t="shared" si="7"/>
        <v>0.00399106136</v>
      </c>
      <c r="F18" s="177">
        <f t="shared" si="7"/>
        <v>0.004388121785</v>
      </c>
      <c r="G18" s="177">
        <f t="shared" si="7"/>
        <v>0.00408557357</v>
      </c>
      <c r="H18" s="177">
        <f t="shared" si="7"/>
        <v>0.00438876728</v>
      </c>
      <c r="I18" s="177">
        <f t="shared" si="7"/>
        <v>0.00408617456</v>
      </c>
      <c r="J18" s="177">
        <f t="shared" si="7"/>
        <v>0.004575867279999999</v>
      </c>
      <c r="K18" s="177">
        <f t="shared" si="7"/>
        <v>0.004260374559999999</v>
      </c>
      <c r="L18" s="177">
        <f t="shared" si="7"/>
        <v>0.004482916</v>
      </c>
      <c r="M18" s="177">
        <f t="shared" si="7"/>
        <v>0.004173832</v>
      </c>
      <c r="N18" s="177">
        <f t="shared" si="7"/>
        <v>0.004482916</v>
      </c>
      <c r="O18" s="177">
        <f t="shared" si="7"/>
        <v>0.004173832</v>
      </c>
      <c r="P18" s="177">
        <f t="shared" si="7"/>
        <v>0.004482916</v>
      </c>
      <c r="Q18" s="177">
        <f t="shared" si="7"/>
        <v>0.004173832</v>
      </c>
      <c r="R18" s="177">
        <f t="shared" si="7"/>
        <v>0.004482916</v>
      </c>
      <c r="S18" s="177">
        <f t="shared" si="7"/>
        <v>0.004173832</v>
      </c>
      <c r="T18" s="177">
        <f t="shared" si="7"/>
        <v>0.004482448249999999</v>
      </c>
      <c r="U18" s="177">
        <f t="shared" si="7"/>
        <v>0.004173396499999999</v>
      </c>
      <c r="V18" s="177">
        <f t="shared" si="7"/>
        <v>0.004482448249999999</v>
      </c>
      <c r="W18" s="177">
        <f t="shared" si="7"/>
        <v>0.004173396499999999</v>
      </c>
    </row>
    <row r="19" spans="2:23" ht="22.5" customHeight="1" thickBot="1">
      <c r="B19" s="6" t="s">
        <v>469</v>
      </c>
      <c r="C19" s="156" t="s">
        <v>90</v>
      </c>
      <c r="D19" s="176">
        <v>1000000</v>
      </c>
      <c r="E19" s="176">
        <v>1000000</v>
      </c>
      <c r="F19" s="176">
        <v>1000000</v>
      </c>
      <c r="G19" s="176">
        <v>1000000</v>
      </c>
      <c r="H19" s="176">
        <v>1000000</v>
      </c>
      <c r="I19" s="176">
        <v>1000000</v>
      </c>
      <c r="J19" s="176">
        <v>1000000</v>
      </c>
      <c r="K19" s="176">
        <v>1000000</v>
      </c>
      <c r="L19" s="176">
        <v>1000000</v>
      </c>
      <c r="M19" s="176">
        <v>1000000</v>
      </c>
      <c r="N19" s="176">
        <v>1000000</v>
      </c>
      <c r="O19" s="176">
        <v>1000000</v>
      </c>
      <c r="P19" s="176">
        <v>1000000</v>
      </c>
      <c r="Q19" s="176">
        <v>1000000</v>
      </c>
      <c r="R19" s="176">
        <v>1000000</v>
      </c>
      <c r="S19" s="176">
        <v>1000000</v>
      </c>
      <c r="T19" s="176">
        <v>1000000</v>
      </c>
      <c r="U19" s="176">
        <v>1000000</v>
      </c>
      <c r="V19" s="176">
        <v>1000000</v>
      </c>
      <c r="W19" s="176">
        <v>1000000</v>
      </c>
    </row>
    <row r="20" spans="2:23" ht="35.25" customHeight="1" thickBot="1">
      <c r="B20" s="6" t="s">
        <v>470</v>
      </c>
      <c r="C20" s="156" t="s">
        <v>371</v>
      </c>
      <c r="D20" s="178">
        <f aca="true" t="shared" si="8" ref="D20:W20">D16*D4/D19</f>
        <v>0.001871</v>
      </c>
      <c r="E20" s="178">
        <f t="shared" si="8"/>
        <v>0.000871</v>
      </c>
      <c r="F20" s="178">
        <f t="shared" si="8"/>
        <v>0.001871</v>
      </c>
      <c r="G20" s="178">
        <f t="shared" si="8"/>
        <v>0.000871</v>
      </c>
      <c r="H20" s="178">
        <f t="shared" si="8"/>
        <v>0.001871</v>
      </c>
      <c r="I20" s="178">
        <f t="shared" si="8"/>
        <v>0.000871</v>
      </c>
      <c r="J20" s="178">
        <f t="shared" si="8"/>
        <v>0.001871</v>
      </c>
      <c r="K20" s="178">
        <f t="shared" si="8"/>
        <v>0.000871</v>
      </c>
      <c r="L20" s="178">
        <f t="shared" si="8"/>
        <v>0.001871</v>
      </c>
      <c r="M20" s="178">
        <f t="shared" si="8"/>
        <v>0.000871</v>
      </c>
      <c r="N20" s="178">
        <f t="shared" si="8"/>
        <v>0.001871</v>
      </c>
      <c r="O20" s="178">
        <f t="shared" si="8"/>
        <v>0.000871</v>
      </c>
      <c r="P20" s="178">
        <f t="shared" si="8"/>
        <v>0.001871</v>
      </c>
      <c r="Q20" s="178">
        <f t="shared" si="8"/>
        <v>0.000871</v>
      </c>
      <c r="R20" s="178">
        <f t="shared" si="8"/>
        <v>0.001871</v>
      </c>
      <c r="S20" s="178">
        <f t="shared" si="8"/>
        <v>0.000871</v>
      </c>
      <c r="T20" s="178">
        <f t="shared" si="8"/>
        <v>0.001871</v>
      </c>
      <c r="U20" s="178">
        <f t="shared" si="8"/>
        <v>0.000871</v>
      </c>
      <c r="V20" s="178">
        <f t="shared" si="8"/>
        <v>0.001871</v>
      </c>
      <c r="W20" s="178">
        <f t="shared" si="8"/>
        <v>0.000871</v>
      </c>
    </row>
    <row r="21" spans="2:23" ht="18" customHeight="1" thickBot="1">
      <c r="B21" s="6" t="s">
        <v>471</v>
      </c>
      <c r="C21" s="156" t="s">
        <v>199</v>
      </c>
      <c r="D21" s="176">
        <f>D17</f>
        <v>4.58216</v>
      </c>
      <c r="E21" s="176">
        <f aca="true" t="shared" si="9" ref="E21:W21">E17</f>
        <v>4.58216</v>
      </c>
      <c r="F21" s="176">
        <f t="shared" si="9"/>
        <v>4.69067</v>
      </c>
      <c r="G21" s="176">
        <f t="shared" si="9"/>
        <v>4.69067</v>
      </c>
      <c r="H21" s="176">
        <f t="shared" si="9"/>
        <v>4.6913599999999995</v>
      </c>
      <c r="I21" s="176">
        <f t="shared" si="9"/>
        <v>4.6913599999999995</v>
      </c>
      <c r="J21" s="176">
        <f t="shared" si="9"/>
        <v>4.891359999999999</v>
      </c>
      <c r="K21" s="176">
        <f t="shared" si="9"/>
        <v>4.891359999999999</v>
      </c>
      <c r="L21" s="176">
        <f t="shared" si="9"/>
        <v>4.792</v>
      </c>
      <c r="M21" s="176">
        <f t="shared" si="9"/>
        <v>4.792</v>
      </c>
      <c r="N21" s="176">
        <f t="shared" si="9"/>
        <v>4.792</v>
      </c>
      <c r="O21" s="176">
        <f t="shared" si="9"/>
        <v>4.792</v>
      </c>
      <c r="P21" s="176">
        <f t="shared" si="9"/>
        <v>4.792</v>
      </c>
      <c r="Q21" s="176">
        <f t="shared" si="9"/>
        <v>4.792</v>
      </c>
      <c r="R21" s="176">
        <f t="shared" si="9"/>
        <v>4.792</v>
      </c>
      <c r="S21" s="176">
        <f t="shared" si="9"/>
        <v>4.792</v>
      </c>
      <c r="T21" s="176">
        <f t="shared" si="9"/>
        <v>4.791499999999999</v>
      </c>
      <c r="U21" s="176">
        <f t="shared" si="9"/>
        <v>4.791499999999999</v>
      </c>
      <c r="V21" s="176">
        <f t="shared" si="9"/>
        <v>4.791499999999999</v>
      </c>
      <c r="W21" s="176">
        <f t="shared" si="9"/>
        <v>4.791499999999999</v>
      </c>
    </row>
    <row r="22" spans="2:23" ht="32.25" customHeight="1" thickBot="1">
      <c r="B22" s="6" t="s">
        <v>472</v>
      </c>
      <c r="C22" s="156" t="s">
        <v>372</v>
      </c>
      <c r="D22" s="178">
        <f aca="true" t="shared" si="10" ref="D22:W22">D20*D21</f>
        <v>0.008573221360000001</v>
      </c>
      <c r="E22" s="178">
        <f t="shared" si="10"/>
        <v>0.00399106136</v>
      </c>
      <c r="F22" s="178">
        <f t="shared" si="10"/>
        <v>0.00877624357</v>
      </c>
      <c r="G22" s="178">
        <f t="shared" si="10"/>
        <v>0.00408557357</v>
      </c>
      <c r="H22" s="178">
        <f t="shared" si="10"/>
        <v>0.00877753456</v>
      </c>
      <c r="I22" s="178">
        <f t="shared" si="10"/>
        <v>0.00408617456</v>
      </c>
      <c r="J22" s="178">
        <f t="shared" si="10"/>
        <v>0.009151734559999998</v>
      </c>
      <c r="K22" s="178">
        <f t="shared" si="10"/>
        <v>0.004260374559999999</v>
      </c>
      <c r="L22" s="178">
        <f t="shared" si="10"/>
        <v>0.008965832</v>
      </c>
      <c r="M22" s="178">
        <f t="shared" si="10"/>
        <v>0.004173832</v>
      </c>
      <c r="N22" s="178">
        <f t="shared" si="10"/>
        <v>0.008965832</v>
      </c>
      <c r="O22" s="178">
        <f t="shared" si="10"/>
        <v>0.004173832</v>
      </c>
      <c r="P22" s="178">
        <f t="shared" si="10"/>
        <v>0.008965832</v>
      </c>
      <c r="Q22" s="178">
        <f t="shared" si="10"/>
        <v>0.004173832</v>
      </c>
      <c r="R22" s="178">
        <f t="shared" si="10"/>
        <v>0.008965832</v>
      </c>
      <c r="S22" s="178">
        <f t="shared" si="10"/>
        <v>0.004173832</v>
      </c>
      <c r="T22" s="178">
        <f t="shared" si="10"/>
        <v>0.008964896499999998</v>
      </c>
      <c r="U22" s="178">
        <f t="shared" si="10"/>
        <v>0.004173396499999999</v>
      </c>
      <c r="V22" s="178">
        <f t="shared" si="10"/>
        <v>0.008964896499999998</v>
      </c>
      <c r="W22" s="178">
        <f t="shared" si="10"/>
        <v>0.004173396499999999</v>
      </c>
    </row>
    <row r="23" spans="2:23" ht="30.75" customHeight="1" thickBot="1">
      <c r="B23" s="6" t="s">
        <v>473</v>
      </c>
      <c r="C23" s="156" t="s">
        <v>373</v>
      </c>
      <c r="D23" s="179">
        <f aca="true" t="shared" si="11" ref="D23:W23">D22*D19</f>
        <v>8573.221360000001</v>
      </c>
      <c r="E23" s="179">
        <f t="shared" si="11"/>
        <v>3991.06136</v>
      </c>
      <c r="F23" s="179">
        <f t="shared" si="11"/>
        <v>8776.24357</v>
      </c>
      <c r="G23" s="179">
        <f t="shared" si="11"/>
        <v>4085.5735699999996</v>
      </c>
      <c r="H23" s="179">
        <f t="shared" si="11"/>
        <v>8777.53456</v>
      </c>
      <c r="I23" s="179">
        <f t="shared" si="11"/>
        <v>4086.17456</v>
      </c>
      <c r="J23" s="179">
        <f t="shared" si="11"/>
        <v>9151.734559999997</v>
      </c>
      <c r="K23" s="179">
        <f t="shared" si="11"/>
        <v>4260.374559999999</v>
      </c>
      <c r="L23" s="179">
        <f t="shared" si="11"/>
        <v>8965.832</v>
      </c>
      <c r="M23" s="179">
        <f t="shared" si="11"/>
        <v>4173.831999999999</v>
      </c>
      <c r="N23" s="179">
        <f t="shared" si="11"/>
        <v>8965.832</v>
      </c>
      <c r="O23" s="179">
        <f t="shared" si="11"/>
        <v>4173.831999999999</v>
      </c>
      <c r="P23" s="179">
        <f t="shared" si="11"/>
        <v>8965.832</v>
      </c>
      <c r="Q23" s="179">
        <f t="shared" si="11"/>
        <v>4173.831999999999</v>
      </c>
      <c r="R23" s="179">
        <f t="shared" si="11"/>
        <v>8965.832</v>
      </c>
      <c r="S23" s="179">
        <f t="shared" si="11"/>
        <v>4173.831999999999</v>
      </c>
      <c r="T23" s="179">
        <f t="shared" si="11"/>
        <v>8964.896499999997</v>
      </c>
      <c r="U23" s="179">
        <f t="shared" si="11"/>
        <v>4173.396499999999</v>
      </c>
      <c r="V23" s="179">
        <f t="shared" si="11"/>
        <v>8964.896499999997</v>
      </c>
      <c r="W23" s="179">
        <f t="shared" si="11"/>
        <v>4173.396499999999</v>
      </c>
    </row>
    <row r="24" spans="2:23" ht="26.25" thickBot="1">
      <c r="B24" s="6" t="s">
        <v>387</v>
      </c>
      <c r="C24" s="6" t="s">
        <v>374</v>
      </c>
      <c r="D24" s="180" t="s">
        <v>303</v>
      </c>
      <c r="E24" s="179">
        <v>3991</v>
      </c>
      <c r="F24" s="180" t="s">
        <v>303</v>
      </c>
      <c r="G24" s="179">
        <v>4086</v>
      </c>
      <c r="H24" s="180" t="s">
        <v>303</v>
      </c>
      <c r="I24" s="179">
        <v>4086</v>
      </c>
      <c r="J24" s="180" t="s">
        <v>303</v>
      </c>
      <c r="K24" s="179">
        <v>4260</v>
      </c>
      <c r="L24" s="180" t="s">
        <v>303</v>
      </c>
      <c r="M24" s="179">
        <v>4174</v>
      </c>
      <c r="N24" s="180" t="s">
        <v>303</v>
      </c>
      <c r="O24" s="179">
        <v>4174</v>
      </c>
      <c r="P24" s="180" t="s">
        <v>303</v>
      </c>
      <c r="Q24" s="179">
        <v>4173</v>
      </c>
      <c r="R24" s="180" t="s">
        <v>303</v>
      </c>
      <c r="S24" s="179">
        <v>4174</v>
      </c>
      <c r="T24" s="180" t="s">
        <v>303</v>
      </c>
      <c r="U24" s="179">
        <v>4173</v>
      </c>
      <c r="V24" s="180" t="s">
        <v>303</v>
      </c>
      <c r="W24" s="179">
        <v>4173</v>
      </c>
    </row>
    <row r="25" spans="2:23" ht="26.25" thickBot="1">
      <c r="B25" s="6" t="s">
        <v>431</v>
      </c>
      <c r="C25" s="6" t="s">
        <v>432</v>
      </c>
      <c r="D25" s="176"/>
      <c r="E25" s="188">
        <f>E24/E4/E16</f>
        <v>4.582089552238806</v>
      </c>
      <c r="F25" s="188"/>
      <c r="G25" s="188">
        <f aca="true" t="shared" si="12" ref="G25:W25">G24/G4/G16</f>
        <v>4.691159586681975</v>
      </c>
      <c r="H25" s="188"/>
      <c r="I25" s="188">
        <f t="shared" si="12"/>
        <v>4.691159586681975</v>
      </c>
      <c r="J25" s="188"/>
      <c r="K25" s="188">
        <f t="shared" si="12"/>
        <v>4.890929965556831</v>
      </c>
      <c r="L25" s="188"/>
      <c r="M25" s="188">
        <f t="shared" si="12"/>
        <v>4.7921928817451205</v>
      </c>
      <c r="N25" s="188"/>
      <c r="O25" s="188">
        <f t="shared" si="12"/>
        <v>4.7921928817451205</v>
      </c>
      <c r="P25" s="188"/>
      <c r="Q25" s="188">
        <f t="shared" si="12"/>
        <v>4.791044776119403</v>
      </c>
      <c r="R25" s="188"/>
      <c r="S25" s="188">
        <f t="shared" si="12"/>
        <v>4.7921928817451205</v>
      </c>
      <c r="T25" s="188"/>
      <c r="U25" s="188">
        <f t="shared" si="12"/>
        <v>4.791044776119403</v>
      </c>
      <c r="V25" s="188"/>
      <c r="W25" s="188">
        <f t="shared" si="12"/>
        <v>4.791044776119403</v>
      </c>
    </row>
  </sheetData>
  <mergeCells count="11">
    <mergeCell ref="B3:C3"/>
    <mergeCell ref="D3:E3"/>
    <mergeCell ref="F3:G3"/>
    <mergeCell ref="H3:I3"/>
    <mergeCell ref="R3:S3"/>
    <mergeCell ref="T3:U3"/>
    <mergeCell ref="V3:W3"/>
    <mergeCell ref="J3:K3"/>
    <mergeCell ref="L3:M3"/>
    <mergeCell ref="N3:O3"/>
    <mergeCell ref="P3:Q3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2"/>
  <dimension ref="A1:I15"/>
  <sheetViews>
    <sheetView workbookViewId="0" topLeftCell="F1">
      <selection activeCell="M7" sqref="M7"/>
    </sheetView>
  </sheetViews>
  <sheetFormatPr defaultColWidth="12" defaultRowHeight="11.25"/>
  <cols>
    <col min="1" max="1" width="9.33203125" style="0" customWidth="1"/>
    <col min="2" max="2" width="60.33203125" style="0" customWidth="1"/>
    <col min="3" max="3" width="34.83203125" style="0" customWidth="1"/>
    <col min="4" max="16384" width="13.5" style="0" customWidth="1"/>
  </cols>
  <sheetData>
    <row r="1" ht="11.25">
      <c r="A1" s="122" t="s">
        <v>318</v>
      </c>
    </row>
    <row r="2" ht="12" thickBot="1"/>
    <row r="3" spans="2:9" ht="36.75" customHeight="1" thickBot="1">
      <c r="B3" s="258" t="s">
        <v>2</v>
      </c>
      <c r="C3" s="243"/>
      <c r="D3" s="266">
        <v>2001</v>
      </c>
      <c r="E3" s="267"/>
      <c r="F3" s="266">
        <f>D3+1</f>
        <v>2002</v>
      </c>
      <c r="G3" s="267"/>
      <c r="H3" s="266">
        <f>F3+1</f>
        <v>2003</v>
      </c>
      <c r="I3" s="267"/>
    </row>
    <row r="4" spans="2:9" ht="27" customHeight="1" thickBot="1">
      <c r="B4" s="6" t="s">
        <v>368</v>
      </c>
      <c r="C4" s="154" t="s">
        <v>91</v>
      </c>
      <c r="D4" s="172">
        <v>2000000</v>
      </c>
      <c r="E4" s="172">
        <v>1000000</v>
      </c>
      <c r="F4" s="172">
        <v>2000000</v>
      </c>
      <c r="G4" s="172">
        <v>1000000</v>
      </c>
      <c r="H4" s="172">
        <v>2000000</v>
      </c>
      <c r="I4" s="172">
        <v>1000000</v>
      </c>
    </row>
    <row r="5" spans="2:9" ht="23.25" customHeight="1" thickBot="1">
      <c r="B5" s="99" t="s">
        <v>378</v>
      </c>
      <c r="C5" s="155" t="s">
        <v>376</v>
      </c>
      <c r="D5" s="173">
        <f>'19_Données taux capital'!$N$5</f>
        <v>0.0005</v>
      </c>
      <c r="E5" s="173">
        <f>'19_Données taux capital'!$N$5</f>
        <v>0.0005</v>
      </c>
      <c r="F5" s="173">
        <f>'19_Données taux capital'!$O$5</f>
        <v>0.0005</v>
      </c>
      <c r="G5" s="173">
        <f>'19_Données taux capital'!$O$5</f>
        <v>0.0005</v>
      </c>
      <c r="H5" s="173">
        <f>'19_Données taux capital'!$P$5</f>
        <v>0.0003</v>
      </c>
      <c r="I5" s="173">
        <f>'19_Données taux capital'!$P$5</f>
        <v>0.0003</v>
      </c>
    </row>
    <row r="6" spans="2:9" ht="25.5" customHeight="1" thickBot="1">
      <c r="B6" s="99" t="s">
        <v>379</v>
      </c>
      <c r="C6" s="155" t="s">
        <v>377</v>
      </c>
      <c r="D6" s="174">
        <f aca="true" t="shared" si="0" ref="D6:I6">D4*D5</f>
        <v>1000</v>
      </c>
      <c r="E6" s="174">
        <f t="shared" si="0"/>
        <v>500</v>
      </c>
      <c r="F6" s="174">
        <f t="shared" si="0"/>
        <v>1000</v>
      </c>
      <c r="G6" s="174">
        <f t="shared" si="0"/>
        <v>500</v>
      </c>
      <c r="H6" s="174">
        <f t="shared" si="0"/>
        <v>600</v>
      </c>
      <c r="I6" s="174">
        <f t="shared" si="0"/>
        <v>300</v>
      </c>
    </row>
    <row r="7" spans="2:9" ht="27" customHeight="1" thickBot="1">
      <c r="B7" s="6" t="s">
        <v>380</v>
      </c>
      <c r="C7" s="156" t="s">
        <v>369</v>
      </c>
      <c r="D7" s="175">
        <f aca="true" t="shared" si="1" ref="D7:I7">D6/D4</f>
        <v>0.0005</v>
      </c>
      <c r="E7" s="175">
        <f t="shared" si="1"/>
        <v>0.0005</v>
      </c>
      <c r="F7" s="175">
        <f t="shared" si="1"/>
        <v>0.0005</v>
      </c>
      <c r="G7" s="175">
        <f t="shared" si="1"/>
        <v>0.0005</v>
      </c>
      <c r="H7" s="175">
        <f t="shared" si="1"/>
        <v>0.0003</v>
      </c>
      <c r="I7" s="175">
        <f t="shared" si="1"/>
        <v>0.0003</v>
      </c>
    </row>
    <row r="8" spans="2:9" ht="21.75" customHeight="1" thickBot="1">
      <c r="B8" s="6" t="s">
        <v>381</v>
      </c>
      <c r="C8" s="156" t="s">
        <v>199</v>
      </c>
      <c r="D8" s="176">
        <f>'16_Multiplicateurs '!$N$7</f>
        <v>4.791499999999999</v>
      </c>
      <c r="E8" s="176">
        <f>'16_Multiplicateurs '!$N$7</f>
        <v>4.791499999999999</v>
      </c>
      <c r="F8" s="176">
        <f>'16_Multiplicateurs '!$O$7</f>
        <v>4.791499999999999</v>
      </c>
      <c r="G8" s="176">
        <f>'16_Multiplicateurs '!$O$7</f>
        <v>4.791499999999999</v>
      </c>
      <c r="H8" s="176">
        <f>'16_Multiplicateurs '!$P$7</f>
        <v>4.791499999999999</v>
      </c>
      <c r="I8" s="176">
        <f>'16_Multiplicateurs '!$P$7</f>
        <v>4.791499999999999</v>
      </c>
    </row>
    <row r="9" spans="2:9" ht="27.75" customHeight="1" thickBot="1">
      <c r="B9" s="6" t="s">
        <v>382</v>
      </c>
      <c r="C9" s="156" t="s">
        <v>370</v>
      </c>
      <c r="D9" s="177">
        <f aca="true" t="shared" si="2" ref="D9:I9">D8*D7</f>
        <v>0.0023957499999999994</v>
      </c>
      <c r="E9" s="177">
        <f t="shared" si="2"/>
        <v>0.0023957499999999994</v>
      </c>
      <c r="F9" s="177">
        <f t="shared" si="2"/>
        <v>0.0023957499999999994</v>
      </c>
      <c r="G9" s="177">
        <f t="shared" si="2"/>
        <v>0.0023957499999999994</v>
      </c>
      <c r="H9" s="177">
        <f t="shared" si="2"/>
        <v>0.0014374499999999996</v>
      </c>
      <c r="I9" s="177">
        <f t="shared" si="2"/>
        <v>0.0014374499999999996</v>
      </c>
    </row>
    <row r="10" spans="2:9" ht="22.5" customHeight="1" thickBot="1">
      <c r="B10" s="6" t="s">
        <v>383</v>
      </c>
      <c r="C10" s="156" t="s">
        <v>90</v>
      </c>
      <c r="D10" s="176">
        <v>1000000</v>
      </c>
      <c r="E10" s="176">
        <v>1000000</v>
      </c>
      <c r="F10" s="176">
        <v>1000000</v>
      </c>
      <c r="G10" s="176">
        <v>1000000</v>
      </c>
      <c r="H10" s="176">
        <v>1000000</v>
      </c>
      <c r="I10" s="176">
        <v>1000000</v>
      </c>
    </row>
    <row r="11" spans="2:9" ht="35.25" customHeight="1" thickBot="1">
      <c r="B11" s="6" t="s">
        <v>384</v>
      </c>
      <c r="C11" s="156" t="s">
        <v>371</v>
      </c>
      <c r="D11" s="178">
        <f aca="true" t="shared" si="3" ref="D11:I11">D7*D4/D10</f>
        <v>0.001</v>
      </c>
      <c r="E11" s="178">
        <f t="shared" si="3"/>
        <v>0.0005</v>
      </c>
      <c r="F11" s="178">
        <f t="shared" si="3"/>
        <v>0.001</v>
      </c>
      <c r="G11" s="178">
        <f t="shared" si="3"/>
        <v>0.0005</v>
      </c>
      <c r="H11" s="178">
        <f t="shared" si="3"/>
        <v>0.0006</v>
      </c>
      <c r="I11" s="178">
        <f t="shared" si="3"/>
        <v>0.0003</v>
      </c>
    </row>
    <row r="12" spans="2:9" ht="32.25" customHeight="1" thickBot="1">
      <c r="B12" s="6" t="s">
        <v>385</v>
      </c>
      <c r="C12" s="156" t="s">
        <v>372</v>
      </c>
      <c r="D12" s="178">
        <f aca="true" t="shared" si="4" ref="D12:I12">D11*D8</f>
        <v>0.004791499999999999</v>
      </c>
      <c r="E12" s="178">
        <f t="shared" si="4"/>
        <v>0.0023957499999999994</v>
      </c>
      <c r="F12" s="178">
        <f t="shared" si="4"/>
        <v>0.004791499999999999</v>
      </c>
      <c r="G12" s="178">
        <f t="shared" si="4"/>
        <v>0.0023957499999999994</v>
      </c>
      <c r="H12" s="178">
        <f t="shared" si="4"/>
        <v>0.0028748999999999992</v>
      </c>
      <c r="I12" s="178">
        <f t="shared" si="4"/>
        <v>0.0014374499999999996</v>
      </c>
    </row>
    <row r="13" spans="2:9" ht="30.75" customHeight="1" thickBot="1">
      <c r="B13" s="6" t="s">
        <v>386</v>
      </c>
      <c r="C13" s="156" t="s">
        <v>373</v>
      </c>
      <c r="D13" s="179">
        <f aca="true" t="shared" si="5" ref="D13:I13">D12*D10</f>
        <v>4791.499999999999</v>
      </c>
      <c r="E13" s="179">
        <f t="shared" si="5"/>
        <v>2395.7499999999995</v>
      </c>
      <c r="F13" s="179">
        <f t="shared" si="5"/>
        <v>4791.499999999999</v>
      </c>
      <c r="G13" s="179">
        <f t="shared" si="5"/>
        <v>2395.7499999999995</v>
      </c>
      <c r="H13" s="179">
        <f t="shared" si="5"/>
        <v>2874.899999999999</v>
      </c>
      <c r="I13" s="179">
        <f t="shared" si="5"/>
        <v>1437.4499999999996</v>
      </c>
    </row>
    <row r="14" spans="2:9" ht="26.25" thickBot="1">
      <c r="B14" s="6" t="s">
        <v>387</v>
      </c>
      <c r="C14" s="6" t="s">
        <v>374</v>
      </c>
      <c r="D14" s="180" t="s">
        <v>303</v>
      </c>
      <c r="E14" s="179">
        <v>2396</v>
      </c>
      <c r="F14" s="180" t="s">
        <v>303</v>
      </c>
      <c r="G14" s="179">
        <v>2396</v>
      </c>
      <c r="H14" s="180" t="s">
        <v>303</v>
      </c>
      <c r="I14" s="179">
        <v>1437</v>
      </c>
    </row>
    <row r="15" spans="2:9" ht="26.25" thickBot="1">
      <c r="B15" s="6" t="s">
        <v>431</v>
      </c>
      <c r="C15" s="6" t="s">
        <v>432</v>
      </c>
      <c r="D15" s="176"/>
      <c r="E15" s="188">
        <f>(E14/E4)/E5</f>
        <v>4.792</v>
      </c>
      <c r="F15" s="176"/>
      <c r="G15" s="188">
        <f>(G14/G4)/G5</f>
        <v>4.792</v>
      </c>
      <c r="H15" s="176"/>
      <c r="I15" s="188">
        <f>(I14/I4)/I5</f>
        <v>4.79</v>
      </c>
    </row>
  </sheetData>
  <mergeCells count="4">
    <mergeCell ref="B3:C3"/>
    <mergeCell ref="D3:E3"/>
    <mergeCell ref="H3:I3"/>
    <mergeCell ref="F3:G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23"/>
  <dimension ref="A1:D13"/>
  <sheetViews>
    <sheetView workbookViewId="0" topLeftCell="A1">
      <selection activeCell="B6" sqref="B6:D6"/>
    </sheetView>
  </sheetViews>
  <sheetFormatPr defaultColWidth="12" defaultRowHeight="11.25"/>
  <cols>
    <col min="2" max="2" width="22.83203125" style="0" customWidth="1"/>
    <col min="3" max="3" width="14.66015625" style="0" customWidth="1"/>
    <col min="4" max="4" width="49.33203125" style="0" customWidth="1"/>
  </cols>
  <sheetData>
    <row r="1" ht="11.25">
      <c r="A1" s="122" t="s">
        <v>318</v>
      </c>
    </row>
    <row r="2" ht="15.75">
      <c r="B2" s="52"/>
    </row>
    <row r="4" ht="12" thickBot="1"/>
    <row r="5" spans="2:4" ht="30.75" customHeight="1" thickBot="1">
      <c r="B5" s="249" t="s">
        <v>3</v>
      </c>
      <c r="C5" s="268"/>
      <c r="D5" s="263"/>
    </row>
    <row r="6" spans="2:4" ht="21.75" customHeight="1" thickBot="1">
      <c r="B6" s="264" t="s">
        <v>485</v>
      </c>
      <c r="C6" s="269"/>
      <c r="D6" s="265"/>
    </row>
    <row r="7" spans="2:4" ht="61.5" customHeight="1" thickBot="1">
      <c r="B7" s="190" t="s">
        <v>479</v>
      </c>
      <c r="C7" s="15">
        <v>0.02</v>
      </c>
      <c r="D7" s="17" t="s">
        <v>480</v>
      </c>
    </row>
    <row r="8" spans="2:4" ht="36" customHeight="1" thickBot="1">
      <c r="B8" s="44" t="s">
        <v>481</v>
      </c>
      <c r="C8" s="132">
        <v>0.035</v>
      </c>
      <c r="D8" s="17" t="s">
        <v>482</v>
      </c>
    </row>
    <row r="9" spans="2:4" ht="36" customHeight="1" thickBot="1">
      <c r="B9" s="44" t="s">
        <v>483</v>
      </c>
      <c r="C9" s="132">
        <v>0.05</v>
      </c>
      <c r="D9" s="17" t="s">
        <v>484</v>
      </c>
    </row>
    <row r="10" spans="2:4" ht="13.5" thickBot="1">
      <c r="B10" s="264" t="s">
        <v>58</v>
      </c>
      <c r="C10" s="269"/>
      <c r="D10" s="265"/>
    </row>
    <row r="11" spans="2:4" ht="13.5" thickBot="1">
      <c r="B11" s="190" t="s">
        <v>479</v>
      </c>
      <c r="C11" s="199">
        <v>0.0155</v>
      </c>
      <c r="D11" s="17" t="s">
        <v>59</v>
      </c>
    </row>
    <row r="12" spans="2:4" ht="26.25" thickBot="1">
      <c r="B12" s="44" t="s">
        <v>481</v>
      </c>
      <c r="C12" s="132">
        <v>0.031</v>
      </c>
      <c r="D12" s="17" t="s">
        <v>482</v>
      </c>
    </row>
    <row r="13" spans="2:4" ht="13.5" thickBot="1">
      <c r="B13" s="44" t="s">
        <v>483</v>
      </c>
      <c r="C13" s="132">
        <v>0.046</v>
      </c>
      <c r="D13" s="17" t="s">
        <v>484</v>
      </c>
    </row>
  </sheetData>
  <mergeCells count="3">
    <mergeCell ref="B5:D5"/>
    <mergeCell ref="B6:D6"/>
    <mergeCell ref="B10:D10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24"/>
  <dimension ref="A1:M19"/>
  <sheetViews>
    <sheetView workbookViewId="0" topLeftCell="H1">
      <selection activeCell="B4" sqref="B4"/>
    </sheetView>
  </sheetViews>
  <sheetFormatPr defaultColWidth="12" defaultRowHeight="11.25"/>
  <cols>
    <col min="1" max="1" width="16.16015625" style="0" customWidth="1"/>
    <col min="2" max="2" width="81.5" style="0" customWidth="1"/>
    <col min="3" max="3" width="15" style="0" customWidth="1"/>
  </cols>
  <sheetData>
    <row r="1" ht="11.25">
      <c r="A1" s="122" t="s">
        <v>318</v>
      </c>
    </row>
    <row r="2" ht="12" thickBot="1">
      <c r="C2" s="9"/>
    </row>
    <row r="3" spans="2:13" ht="51.75" thickBot="1">
      <c r="B3" s="53" t="s">
        <v>4</v>
      </c>
      <c r="C3" s="18" t="s">
        <v>486</v>
      </c>
      <c r="D3" s="18" t="s">
        <v>487</v>
      </c>
      <c r="E3" s="18" t="s">
        <v>488</v>
      </c>
      <c r="F3" s="18" t="s">
        <v>489</v>
      </c>
      <c r="G3" s="18" t="s">
        <v>490</v>
      </c>
      <c r="H3" s="18" t="s">
        <v>491</v>
      </c>
      <c r="I3" s="18" t="s">
        <v>492</v>
      </c>
      <c r="J3" s="18" t="s">
        <v>493</v>
      </c>
      <c r="K3" s="18" t="s">
        <v>494</v>
      </c>
      <c r="L3" s="18" t="s">
        <v>495</v>
      </c>
      <c r="M3" s="18" t="s">
        <v>496</v>
      </c>
    </row>
    <row r="4" spans="2:13" ht="13.5" thickBot="1">
      <c r="B4" s="20" t="s">
        <v>94</v>
      </c>
      <c r="C4" s="202">
        <v>2000000</v>
      </c>
      <c r="D4" s="202">
        <v>2000000</v>
      </c>
      <c r="E4" s="202">
        <v>2000000</v>
      </c>
      <c r="F4" s="202">
        <v>2000000</v>
      </c>
      <c r="G4" s="202">
        <v>2000000</v>
      </c>
      <c r="H4" s="202">
        <v>2000000</v>
      </c>
      <c r="I4" s="202">
        <v>2000000</v>
      </c>
      <c r="J4" s="202">
        <v>2000000</v>
      </c>
      <c r="K4" s="202">
        <v>2000000</v>
      </c>
      <c r="L4" s="202">
        <v>2000000</v>
      </c>
      <c r="M4" s="202">
        <v>2000000</v>
      </c>
    </row>
    <row r="5" spans="2:13" ht="13.5" thickBot="1">
      <c r="B5" s="20" t="s">
        <v>474</v>
      </c>
      <c r="C5" s="202">
        <v>1000000</v>
      </c>
      <c r="D5" s="213">
        <f>'7_Comp_montant_charge fiscal'!D15</f>
        <v>757700</v>
      </c>
      <c r="E5" s="213">
        <f>'7_Comp_montant_charge fiscal'!E15</f>
        <v>754800</v>
      </c>
      <c r="F5" s="213">
        <f>'7_Comp_montant_charge fiscal'!F15</f>
        <v>754800</v>
      </c>
      <c r="G5" s="213">
        <f>'7_Comp_montant_charge fiscal'!G15</f>
        <v>749400</v>
      </c>
      <c r="H5" s="213">
        <f>'7_Comp_montant_charge fiscal'!H15</f>
        <v>752100</v>
      </c>
      <c r="I5" s="213">
        <f>'7_Comp_montant_charge fiscal'!I15</f>
        <v>752100</v>
      </c>
      <c r="J5" s="213">
        <f>'7_Comp_montant_charge fiscal'!J15</f>
        <v>752100</v>
      </c>
      <c r="K5" s="213">
        <f>'7_Comp_montant_charge fiscal'!K15</f>
        <v>760700</v>
      </c>
      <c r="L5" s="213">
        <f>'7_Comp_montant_charge fiscal'!L15</f>
        <v>760700</v>
      </c>
      <c r="M5" s="213">
        <f>'7_Comp_montant_charge fiscal'!M15</f>
        <v>760700</v>
      </c>
    </row>
    <row r="6" spans="2:13" ht="29.25" customHeight="1" thickBot="1">
      <c r="B6" s="21" t="s">
        <v>96</v>
      </c>
      <c r="C6" s="203">
        <f aca="true" t="shared" si="0" ref="C6:M6">C5/C4</f>
        <v>0.5</v>
      </c>
      <c r="D6" s="203">
        <f t="shared" si="0"/>
        <v>0.37885</v>
      </c>
      <c r="E6" s="203">
        <f t="shared" si="0"/>
        <v>0.3774</v>
      </c>
      <c r="F6" s="203">
        <f t="shared" si="0"/>
        <v>0.3774</v>
      </c>
      <c r="G6" s="203">
        <f t="shared" si="0"/>
        <v>0.3747</v>
      </c>
      <c r="H6" s="203">
        <f t="shared" si="0"/>
        <v>0.37605</v>
      </c>
      <c r="I6" s="203">
        <f t="shared" si="0"/>
        <v>0.37605</v>
      </c>
      <c r="J6" s="203">
        <f t="shared" si="0"/>
        <v>0.37605</v>
      </c>
      <c r="K6" s="203">
        <f t="shared" si="0"/>
        <v>0.38035</v>
      </c>
      <c r="L6" s="203">
        <f t="shared" si="0"/>
        <v>0.38035</v>
      </c>
      <c r="M6" s="203">
        <f t="shared" si="0"/>
        <v>0.38035</v>
      </c>
    </row>
    <row r="7" spans="2:13" ht="24" customHeight="1" thickBot="1">
      <c r="B7" s="21" t="s">
        <v>475</v>
      </c>
      <c r="C7" s="203">
        <v>0.045</v>
      </c>
      <c r="D7" s="203">
        <v>0.045</v>
      </c>
      <c r="E7" s="203">
        <v>0.045</v>
      </c>
      <c r="F7" s="203">
        <v>0.045</v>
      </c>
      <c r="G7" s="203">
        <v>0.045</v>
      </c>
      <c r="H7" s="203">
        <v>0.045</v>
      </c>
      <c r="I7" s="203">
        <v>0.045</v>
      </c>
      <c r="J7" s="203">
        <v>0.045</v>
      </c>
      <c r="K7" s="203">
        <v>0.045</v>
      </c>
      <c r="L7" s="203">
        <v>0.045</v>
      </c>
      <c r="M7" s="203">
        <v>0.045</v>
      </c>
    </row>
    <row r="8" spans="2:13" ht="37.5" customHeight="1" thickBot="1">
      <c r="B8" s="21" t="s">
        <v>500</v>
      </c>
      <c r="C8" s="204">
        <f aca="true" t="shared" si="1" ref="C8:M8">C7*C4</f>
        <v>90000</v>
      </c>
      <c r="D8" s="204">
        <f t="shared" si="1"/>
        <v>90000</v>
      </c>
      <c r="E8" s="204">
        <f t="shared" si="1"/>
        <v>90000</v>
      </c>
      <c r="F8" s="204">
        <f t="shared" si="1"/>
        <v>90000</v>
      </c>
      <c r="G8" s="204">
        <f t="shared" si="1"/>
        <v>90000</v>
      </c>
      <c r="H8" s="204">
        <f t="shared" si="1"/>
        <v>90000</v>
      </c>
      <c r="I8" s="204">
        <f t="shared" si="1"/>
        <v>90000</v>
      </c>
      <c r="J8" s="204">
        <f t="shared" si="1"/>
        <v>90000</v>
      </c>
      <c r="K8" s="204">
        <f t="shared" si="1"/>
        <v>90000</v>
      </c>
      <c r="L8" s="204">
        <f t="shared" si="1"/>
        <v>90000</v>
      </c>
      <c r="M8" s="204">
        <f t="shared" si="1"/>
        <v>90000</v>
      </c>
    </row>
    <row r="9" spans="2:13" ht="26.25" customHeight="1" thickBot="1">
      <c r="B9" s="200" t="s">
        <v>501</v>
      </c>
      <c r="C9" s="205">
        <f aca="true" t="shared" si="2" ref="C9:M9">C8</f>
        <v>90000</v>
      </c>
      <c r="D9" s="205">
        <f t="shared" si="2"/>
        <v>90000</v>
      </c>
      <c r="E9" s="205">
        <f t="shared" si="2"/>
        <v>90000</v>
      </c>
      <c r="F9" s="205">
        <f t="shared" si="2"/>
        <v>90000</v>
      </c>
      <c r="G9" s="205">
        <f t="shared" si="2"/>
        <v>90000</v>
      </c>
      <c r="H9" s="205">
        <f t="shared" si="2"/>
        <v>90000</v>
      </c>
      <c r="I9" s="205">
        <f t="shared" si="2"/>
        <v>90000</v>
      </c>
      <c r="J9" s="205">
        <f t="shared" si="2"/>
        <v>90000</v>
      </c>
      <c r="K9" s="205">
        <f t="shared" si="2"/>
        <v>90000</v>
      </c>
      <c r="L9" s="205">
        <f t="shared" si="2"/>
        <v>90000</v>
      </c>
      <c r="M9" s="205">
        <f t="shared" si="2"/>
        <v>90000</v>
      </c>
    </row>
    <row r="10" spans="2:13" ht="15" thickBot="1">
      <c r="B10" s="22" t="s">
        <v>502</v>
      </c>
      <c r="C10" s="206">
        <v>0.02</v>
      </c>
      <c r="D10" s="206">
        <v>0.02</v>
      </c>
      <c r="E10" s="206">
        <v>0.02</v>
      </c>
      <c r="F10" s="206">
        <v>0.02</v>
      </c>
      <c r="G10" s="206">
        <v>0.02</v>
      </c>
      <c r="H10" s="206">
        <v>0.02</v>
      </c>
      <c r="I10" s="206">
        <v>0.02</v>
      </c>
      <c r="J10" s="206">
        <v>0.02</v>
      </c>
      <c r="K10" s="206">
        <v>0.02</v>
      </c>
      <c r="L10" s="206">
        <v>0.02</v>
      </c>
      <c r="M10" s="206">
        <v>0.02</v>
      </c>
    </row>
    <row r="11" spans="2:13" ht="15" thickBot="1">
      <c r="B11" s="23" t="s">
        <v>503</v>
      </c>
      <c r="C11" s="207">
        <f aca="true" t="shared" si="3" ref="C11:M11">C10*C9</f>
        <v>1800</v>
      </c>
      <c r="D11" s="207">
        <f t="shared" si="3"/>
        <v>1800</v>
      </c>
      <c r="E11" s="207">
        <f t="shared" si="3"/>
        <v>1800</v>
      </c>
      <c r="F11" s="207">
        <f t="shared" si="3"/>
        <v>1800</v>
      </c>
      <c r="G11" s="207">
        <f t="shared" si="3"/>
        <v>1800</v>
      </c>
      <c r="H11" s="207">
        <f t="shared" si="3"/>
        <v>1800</v>
      </c>
      <c r="I11" s="207">
        <f t="shared" si="3"/>
        <v>1800</v>
      </c>
      <c r="J11" s="207">
        <f t="shared" si="3"/>
        <v>1800</v>
      </c>
      <c r="K11" s="207">
        <f t="shared" si="3"/>
        <v>1800</v>
      </c>
      <c r="L11" s="207">
        <f t="shared" si="3"/>
        <v>1800</v>
      </c>
      <c r="M11" s="207">
        <f t="shared" si="3"/>
        <v>1800</v>
      </c>
    </row>
    <row r="12" spans="2:13" ht="15" thickBot="1">
      <c r="B12" s="24" t="s">
        <v>504</v>
      </c>
      <c r="C12" s="208">
        <v>0.035</v>
      </c>
      <c r="D12" s="208">
        <v>0.035</v>
      </c>
      <c r="E12" s="208">
        <v>0.035</v>
      </c>
      <c r="F12" s="208">
        <v>0.035</v>
      </c>
      <c r="G12" s="208">
        <v>0.035</v>
      </c>
      <c r="H12" s="208">
        <v>0.035</v>
      </c>
      <c r="I12" s="208">
        <v>0.035</v>
      </c>
      <c r="J12" s="208">
        <v>0.035</v>
      </c>
      <c r="K12" s="208">
        <v>0.035</v>
      </c>
      <c r="L12" s="208">
        <v>0.035</v>
      </c>
      <c r="M12" s="208">
        <v>0.035</v>
      </c>
    </row>
    <row r="13" spans="2:13" ht="40.5" customHeight="1" thickBot="1">
      <c r="B13" s="201" t="s">
        <v>511</v>
      </c>
      <c r="C13" s="209">
        <v>50000</v>
      </c>
      <c r="D13" s="209">
        <v>50000</v>
      </c>
      <c r="E13" s="209">
        <v>50000</v>
      </c>
      <c r="F13" s="209">
        <v>50000</v>
      </c>
      <c r="G13" s="209">
        <v>50000</v>
      </c>
      <c r="H13" s="209">
        <v>50000</v>
      </c>
      <c r="I13" s="209">
        <v>50000</v>
      </c>
      <c r="J13" s="209">
        <v>50000</v>
      </c>
      <c r="K13" s="209">
        <v>50000</v>
      </c>
      <c r="L13" s="209">
        <v>50000</v>
      </c>
      <c r="M13" s="209">
        <v>50000</v>
      </c>
    </row>
    <row r="14" spans="2:13" ht="15" thickBot="1">
      <c r="B14" s="23" t="s">
        <v>505</v>
      </c>
      <c r="C14" s="210">
        <f aca="true" t="shared" si="4" ref="C14:M14">C12*C13</f>
        <v>1750.0000000000002</v>
      </c>
      <c r="D14" s="210">
        <f t="shared" si="4"/>
        <v>1750.0000000000002</v>
      </c>
      <c r="E14" s="210">
        <f t="shared" si="4"/>
        <v>1750.0000000000002</v>
      </c>
      <c r="F14" s="210">
        <f t="shared" si="4"/>
        <v>1750.0000000000002</v>
      </c>
      <c r="G14" s="210">
        <f t="shared" si="4"/>
        <v>1750.0000000000002</v>
      </c>
      <c r="H14" s="210">
        <f t="shared" si="4"/>
        <v>1750.0000000000002</v>
      </c>
      <c r="I14" s="210">
        <f t="shared" si="4"/>
        <v>1750.0000000000002</v>
      </c>
      <c r="J14" s="210">
        <f t="shared" si="4"/>
        <v>1750.0000000000002</v>
      </c>
      <c r="K14" s="210">
        <f t="shared" si="4"/>
        <v>1750.0000000000002</v>
      </c>
      <c r="L14" s="210">
        <f t="shared" si="4"/>
        <v>1750.0000000000002</v>
      </c>
      <c r="M14" s="210">
        <f t="shared" si="4"/>
        <v>1750.0000000000002</v>
      </c>
    </row>
    <row r="15" spans="2:13" ht="15" thickBot="1">
      <c r="B15" s="27" t="s">
        <v>506</v>
      </c>
      <c r="C15" s="209">
        <f aca="true" t="shared" si="5" ref="C15:M15">C5-C9-C13</f>
        <v>860000</v>
      </c>
      <c r="D15" s="209">
        <f t="shared" si="5"/>
        <v>617700</v>
      </c>
      <c r="E15" s="209">
        <f t="shared" si="5"/>
        <v>614800</v>
      </c>
      <c r="F15" s="209">
        <f t="shared" si="5"/>
        <v>614800</v>
      </c>
      <c r="G15" s="209">
        <f t="shared" si="5"/>
        <v>609400</v>
      </c>
      <c r="H15" s="209">
        <f t="shared" si="5"/>
        <v>612100</v>
      </c>
      <c r="I15" s="209">
        <f t="shared" si="5"/>
        <v>612100</v>
      </c>
      <c r="J15" s="209">
        <f t="shared" si="5"/>
        <v>612100</v>
      </c>
      <c r="K15" s="209">
        <f t="shared" si="5"/>
        <v>620700</v>
      </c>
      <c r="L15" s="209">
        <f t="shared" si="5"/>
        <v>620700</v>
      </c>
      <c r="M15" s="209">
        <f t="shared" si="5"/>
        <v>620700</v>
      </c>
    </row>
    <row r="16" spans="2:13" ht="15" thickBot="1">
      <c r="B16" s="24" t="s">
        <v>507</v>
      </c>
      <c r="C16" s="211">
        <v>0.05</v>
      </c>
      <c r="D16" s="211">
        <v>0.05</v>
      </c>
      <c r="E16" s="211">
        <v>0.05</v>
      </c>
      <c r="F16" s="211">
        <v>0.05</v>
      </c>
      <c r="G16" s="211">
        <v>0.05</v>
      </c>
      <c r="H16" s="211">
        <v>0.05</v>
      </c>
      <c r="I16" s="211">
        <v>0.05</v>
      </c>
      <c r="J16" s="211">
        <v>0.05</v>
      </c>
      <c r="K16" s="211">
        <v>0.05</v>
      </c>
      <c r="L16" s="211">
        <v>0.05</v>
      </c>
      <c r="M16" s="211">
        <v>0.05</v>
      </c>
    </row>
    <row r="17" spans="2:13" ht="15" thickBot="1">
      <c r="B17" s="25" t="s">
        <v>508</v>
      </c>
      <c r="C17" s="210">
        <f aca="true" t="shared" si="6" ref="C17:M17">C15*C16</f>
        <v>43000</v>
      </c>
      <c r="D17" s="210">
        <f t="shared" si="6"/>
        <v>30885</v>
      </c>
      <c r="E17" s="210">
        <f t="shared" si="6"/>
        <v>30740</v>
      </c>
      <c r="F17" s="210">
        <f t="shared" si="6"/>
        <v>30740</v>
      </c>
      <c r="G17" s="210">
        <f t="shared" si="6"/>
        <v>30470</v>
      </c>
      <c r="H17" s="210">
        <f t="shared" si="6"/>
        <v>30605</v>
      </c>
      <c r="I17" s="210">
        <f t="shared" si="6"/>
        <v>30605</v>
      </c>
      <c r="J17" s="210">
        <f t="shared" si="6"/>
        <v>30605</v>
      </c>
      <c r="K17" s="210">
        <f t="shared" si="6"/>
        <v>31035</v>
      </c>
      <c r="L17" s="210">
        <f t="shared" si="6"/>
        <v>31035</v>
      </c>
      <c r="M17" s="210">
        <f t="shared" si="6"/>
        <v>31035</v>
      </c>
    </row>
    <row r="18" spans="2:13" ht="15" thickBot="1">
      <c r="B18" s="25" t="s">
        <v>509</v>
      </c>
      <c r="C18" s="210">
        <f aca="true" t="shared" si="7" ref="C18:M18">C17+C14+C11</f>
        <v>46550</v>
      </c>
      <c r="D18" s="210">
        <f t="shared" si="7"/>
        <v>34435</v>
      </c>
      <c r="E18" s="210">
        <f t="shared" si="7"/>
        <v>34290</v>
      </c>
      <c r="F18" s="210">
        <f t="shared" si="7"/>
        <v>34290</v>
      </c>
      <c r="G18" s="210">
        <f t="shared" si="7"/>
        <v>34020</v>
      </c>
      <c r="H18" s="210">
        <f t="shared" si="7"/>
        <v>34155</v>
      </c>
      <c r="I18" s="210">
        <f t="shared" si="7"/>
        <v>34155</v>
      </c>
      <c r="J18" s="210">
        <f t="shared" si="7"/>
        <v>34155</v>
      </c>
      <c r="K18" s="210">
        <f t="shared" si="7"/>
        <v>34585</v>
      </c>
      <c r="L18" s="210">
        <f t="shared" si="7"/>
        <v>34585</v>
      </c>
      <c r="M18" s="210">
        <f t="shared" si="7"/>
        <v>34585</v>
      </c>
    </row>
    <row r="19" spans="2:13" ht="15" thickBot="1">
      <c r="B19" s="20" t="s">
        <v>510</v>
      </c>
      <c r="C19" s="212">
        <f aca="true" t="shared" si="8" ref="C19:M19">C18/C5</f>
        <v>0.04655</v>
      </c>
      <c r="D19" s="212">
        <f t="shared" si="8"/>
        <v>0.0454467467335357</v>
      </c>
      <c r="E19" s="212">
        <f t="shared" si="8"/>
        <v>0.04542925278219396</v>
      </c>
      <c r="F19" s="212">
        <f t="shared" si="8"/>
        <v>0.04542925278219396</v>
      </c>
      <c r="G19" s="212">
        <f t="shared" si="8"/>
        <v>0.045396317053642915</v>
      </c>
      <c r="H19" s="212">
        <f t="shared" si="8"/>
        <v>0.04541284403669725</v>
      </c>
      <c r="I19" s="212">
        <f t="shared" si="8"/>
        <v>0.04541284403669725</v>
      </c>
      <c r="J19" s="212">
        <f t="shared" si="8"/>
        <v>0.04541284403669725</v>
      </c>
      <c r="K19" s="212">
        <f t="shared" si="8"/>
        <v>0.045464703562508216</v>
      </c>
      <c r="L19" s="212">
        <f t="shared" si="8"/>
        <v>0.045464703562508216</v>
      </c>
      <c r="M19" s="212">
        <f t="shared" si="8"/>
        <v>0.045464703562508216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25"/>
  <dimension ref="A1:M19"/>
  <sheetViews>
    <sheetView workbookViewId="0" topLeftCell="G1">
      <selection activeCell="B15" sqref="B15"/>
    </sheetView>
  </sheetViews>
  <sheetFormatPr defaultColWidth="12" defaultRowHeight="11.25"/>
  <cols>
    <col min="1" max="1" width="16.16015625" style="0" customWidth="1"/>
    <col min="2" max="2" width="81.5" style="0" customWidth="1"/>
    <col min="3" max="3" width="15" style="0" customWidth="1"/>
  </cols>
  <sheetData>
    <row r="1" ht="11.25">
      <c r="A1" s="122" t="s">
        <v>318</v>
      </c>
    </row>
    <row r="2" ht="12" thickBot="1">
      <c r="C2" s="9"/>
    </row>
    <row r="3" spans="2:13" ht="51.75" thickBot="1">
      <c r="B3" s="53" t="s">
        <v>5</v>
      </c>
      <c r="C3" s="18" t="s">
        <v>486</v>
      </c>
      <c r="D3" s="18" t="s">
        <v>487</v>
      </c>
      <c r="E3" s="18" t="s">
        <v>488</v>
      </c>
      <c r="F3" s="18" t="s">
        <v>489</v>
      </c>
      <c r="G3" s="18" t="s">
        <v>490</v>
      </c>
      <c r="H3" s="18" t="s">
        <v>491</v>
      </c>
      <c r="I3" s="18" t="s">
        <v>492</v>
      </c>
      <c r="J3" s="18" t="s">
        <v>493</v>
      </c>
      <c r="K3" s="18" t="s">
        <v>494</v>
      </c>
      <c r="L3" s="18" t="s">
        <v>495</v>
      </c>
      <c r="M3" s="18" t="s">
        <v>496</v>
      </c>
    </row>
    <row r="4" spans="2:13" ht="13.5" thickBot="1">
      <c r="B4" s="20" t="s">
        <v>94</v>
      </c>
      <c r="C4" s="202">
        <v>2000000</v>
      </c>
      <c r="D4" s="202">
        <v>2000000</v>
      </c>
      <c r="E4" s="202">
        <v>2000000</v>
      </c>
      <c r="F4" s="202">
        <v>2000000</v>
      </c>
      <c r="G4" s="202">
        <v>2000000</v>
      </c>
      <c r="H4" s="202">
        <v>2000000</v>
      </c>
      <c r="I4" s="202">
        <v>2000000</v>
      </c>
      <c r="J4" s="202">
        <v>2000000</v>
      </c>
      <c r="K4" s="202">
        <v>2000000</v>
      </c>
      <c r="L4" s="202">
        <v>2000000</v>
      </c>
      <c r="M4" s="202">
        <v>2000000</v>
      </c>
    </row>
    <row r="5" spans="2:13" ht="13.5" thickBot="1">
      <c r="B5" s="20" t="s">
        <v>474</v>
      </c>
      <c r="C5" s="202">
        <v>1000000</v>
      </c>
      <c r="D5" s="217">
        <f>1000000-('6_Synthèse calcul taux_et cfis'!E25*1000000)</f>
        <v>754806.0091606162</v>
      </c>
      <c r="E5" s="217">
        <f>1000000-('6_Synthèse calcul taux_et cfis'!F25*1000000)</f>
        <v>751755.4137170188</v>
      </c>
      <c r="F5" s="217">
        <f>1000000-('6_Synthèse calcul taux_et cfis'!G25*1000000)</f>
        <v>751736.0903121124</v>
      </c>
      <c r="G5" s="217">
        <f>1000000-('6_Synthèse calcul taux_et cfis'!H25*1000000)</f>
        <v>746174.5733782393</v>
      </c>
      <c r="H5" s="217">
        <f>1000000-('6_Synthèse calcul taux_et cfis'!I25*1000000)</f>
        <v>748965.5851070755</v>
      </c>
      <c r="I5" s="217">
        <f>1000000-('6_Synthèse calcul taux_et cfis'!J25*1000000)</f>
        <v>748965.5851070755</v>
      </c>
      <c r="J5" s="217">
        <f>1000000-('6_Synthèse calcul taux_et cfis'!K25*1000000)</f>
        <v>748965.5851070755</v>
      </c>
      <c r="K5" s="217">
        <f>1000000-('6_Synthèse calcul taux_et cfis'!L25*1000000)</f>
        <v>757632.2263467117</v>
      </c>
      <c r="L5" s="217">
        <f>1000000-('6_Synthèse calcul taux_et cfis'!M25*1000000)</f>
        <v>757646.4226470308</v>
      </c>
      <c r="M5" s="217">
        <f>1000000-('6_Synthèse calcul taux_et cfis'!N25*1000000)</f>
        <v>757646.4226470308</v>
      </c>
    </row>
    <row r="6" spans="2:13" ht="29.25" customHeight="1" thickBot="1">
      <c r="B6" s="21" t="s">
        <v>96</v>
      </c>
      <c r="C6" s="203">
        <f aca="true" t="shared" si="0" ref="C6:M6">C5/C4</f>
        <v>0.5</v>
      </c>
      <c r="D6" s="203">
        <f t="shared" si="0"/>
        <v>0.3774030045803081</v>
      </c>
      <c r="E6" s="203">
        <f t="shared" si="0"/>
        <v>0.3758777068585094</v>
      </c>
      <c r="F6" s="203">
        <f t="shared" si="0"/>
        <v>0.37586804515605615</v>
      </c>
      <c r="G6" s="203">
        <f t="shared" si="0"/>
        <v>0.37308728668911967</v>
      </c>
      <c r="H6" s="203">
        <f t="shared" si="0"/>
        <v>0.3744827925535378</v>
      </c>
      <c r="I6" s="203">
        <f t="shared" si="0"/>
        <v>0.3744827925535378</v>
      </c>
      <c r="J6" s="203">
        <f t="shared" si="0"/>
        <v>0.3744827925535378</v>
      </c>
      <c r="K6" s="203">
        <f t="shared" si="0"/>
        <v>0.3788161131733559</v>
      </c>
      <c r="L6" s="203">
        <f t="shared" si="0"/>
        <v>0.3788232113235154</v>
      </c>
      <c r="M6" s="203">
        <f t="shared" si="0"/>
        <v>0.3788232113235154</v>
      </c>
    </row>
    <row r="7" spans="2:13" ht="24" customHeight="1" thickBot="1">
      <c r="B7" s="21" t="s">
        <v>475</v>
      </c>
      <c r="C7" s="203">
        <v>0.045</v>
      </c>
      <c r="D7" s="203">
        <v>0.045</v>
      </c>
      <c r="E7" s="203">
        <v>0.045</v>
      </c>
      <c r="F7" s="203">
        <v>0.045</v>
      </c>
      <c r="G7" s="203">
        <v>0.045</v>
      </c>
      <c r="H7" s="203">
        <v>0.045</v>
      </c>
      <c r="I7" s="203">
        <v>0.045</v>
      </c>
      <c r="J7" s="203">
        <v>0.045</v>
      </c>
      <c r="K7" s="203">
        <v>0.045</v>
      </c>
      <c r="L7" s="203">
        <v>0.045</v>
      </c>
      <c r="M7" s="203">
        <v>0.045</v>
      </c>
    </row>
    <row r="8" spans="2:13" ht="37.5" customHeight="1" thickBot="1">
      <c r="B8" s="21" t="s">
        <v>500</v>
      </c>
      <c r="C8" s="204">
        <f aca="true" t="shared" si="1" ref="C8:M8">C7*C4</f>
        <v>90000</v>
      </c>
      <c r="D8" s="204">
        <f t="shared" si="1"/>
        <v>90000</v>
      </c>
      <c r="E8" s="204">
        <f t="shared" si="1"/>
        <v>90000</v>
      </c>
      <c r="F8" s="204">
        <f t="shared" si="1"/>
        <v>90000</v>
      </c>
      <c r="G8" s="204">
        <f t="shared" si="1"/>
        <v>90000</v>
      </c>
      <c r="H8" s="204">
        <f t="shared" si="1"/>
        <v>90000</v>
      </c>
      <c r="I8" s="204">
        <f t="shared" si="1"/>
        <v>90000</v>
      </c>
      <c r="J8" s="204">
        <f t="shared" si="1"/>
        <v>90000</v>
      </c>
      <c r="K8" s="204">
        <f t="shared" si="1"/>
        <v>90000</v>
      </c>
      <c r="L8" s="204">
        <f t="shared" si="1"/>
        <v>90000</v>
      </c>
      <c r="M8" s="204">
        <f t="shared" si="1"/>
        <v>90000</v>
      </c>
    </row>
    <row r="9" spans="2:13" ht="26.25" customHeight="1" thickBot="1">
      <c r="B9" s="200" t="s">
        <v>501</v>
      </c>
      <c r="C9" s="205">
        <f aca="true" t="shared" si="2" ref="C9:M9">C8</f>
        <v>90000</v>
      </c>
      <c r="D9" s="205">
        <f t="shared" si="2"/>
        <v>90000</v>
      </c>
      <c r="E9" s="205">
        <f t="shared" si="2"/>
        <v>90000</v>
      </c>
      <c r="F9" s="205">
        <f t="shared" si="2"/>
        <v>90000</v>
      </c>
      <c r="G9" s="205">
        <f t="shared" si="2"/>
        <v>90000</v>
      </c>
      <c r="H9" s="205">
        <f t="shared" si="2"/>
        <v>90000</v>
      </c>
      <c r="I9" s="205">
        <f t="shared" si="2"/>
        <v>90000</v>
      </c>
      <c r="J9" s="205">
        <f t="shared" si="2"/>
        <v>90000</v>
      </c>
      <c r="K9" s="205">
        <f t="shared" si="2"/>
        <v>90000</v>
      </c>
      <c r="L9" s="205">
        <f t="shared" si="2"/>
        <v>90000</v>
      </c>
      <c r="M9" s="205">
        <f t="shared" si="2"/>
        <v>90000</v>
      </c>
    </row>
    <row r="10" spans="2:13" ht="15" thickBot="1">
      <c r="B10" s="22" t="s">
        <v>502</v>
      </c>
      <c r="C10" s="206">
        <v>0.02</v>
      </c>
      <c r="D10" s="206">
        <v>0.02</v>
      </c>
      <c r="E10" s="206">
        <v>0.02</v>
      </c>
      <c r="F10" s="206">
        <v>0.02</v>
      </c>
      <c r="G10" s="206">
        <v>0.02</v>
      </c>
      <c r="H10" s="206">
        <v>0.02</v>
      </c>
      <c r="I10" s="206">
        <v>0.02</v>
      </c>
      <c r="J10" s="206">
        <v>0.02</v>
      </c>
      <c r="K10" s="206">
        <v>0.02</v>
      </c>
      <c r="L10" s="206">
        <v>0.02</v>
      </c>
      <c r="M10" s="206">
        <v>0.02</v>
      </c>
    </row>
    <row r="11" spans="2:13" ht="15" thickBot="1">
      <c r="B11" s="23" t="s">
        <v>503</v>
      </c>
      <c r="C11" s="207">
        <f aca="true" t="shared" si="3" ref="C11:M11">C10*C9</f>
        <v>1800</v>
      </c>
      <c r="D11" s="207">
        <f t="shared" si="3"/>
        <v>1800</v>
      </c>
      <c r="E11" s="207">
        <f t="shared" si="3"/>
        <v>1800</v>
      </c>
      <c r="F11" s="207">
        <f t="shared" si="3"/>
        <v>1800</v>
      </c>
      <c r="G11" s="207">
        <f t="shared" si="3"/>
        <v>1800</v>
      </c>
      <c r="H11" s="207">
        <f t="shared" si="3"/>
        <v>1800</v>
      </c>
      <c r="I11" s="207">
        <f t="shared" si="3"/>
        <v>1800</v>
      </c>
      <c r="J11" s="207">
        <f t="shared" si="3"/>
        <v>1800</v>
      </c>
      <c r="K11" s="207">
        <f t="shared" si="3"/>
        <v>1800</v>
      </c>
      <c r="L11" s="207">
        <f t="shared" si="3"/>
        <v>1800</v>
      </c>
      <c r="M11" s="207">
        <f t="shared" si="3"/>
        <v>1800</v>
      </c>
    </row>
    <row r="12" spans="2:13" ht="15" thickBot="1">
      <c r="B12" s="24" t="s">
        <v>504</v>
      </c>
      <c r="C12" s="208">
        <v>0.035</v>
      </c>
      <c r="D12" s="208">
        <v>0.035</v>
      </c>
      <c r="E12" s="208">
        <v>0.035</v>
      </c>
      <c r="F12" s="208">
        <v>0.035</v>
      </c>
      <c r="G12" s="208">
        <v>0.035</v>
      </c>
      <c r="H12" s="208">
        <v>0.035</v>
      </c>
      <c r="I12" s="208">
        <v>0.035</v>
      </c>
      <c r="J12" s="208">
        <v>0.035</v>
      </c>
      <c r="K12" s="208">
        <v>0.035</v>
      </c>
      <c r="L12" s="208">
        <v>0.035</v>
      </c>
      <c r="M12" s="208">
        <v>0.035</v>
      </c>
    </row>
    <row r="13" spans="2:13" ht="40.5" customHeight="1" thickBot="1">
      <c r="B13" s="201" t="s">
        <v>511</v>
      </c>
      <c r="C13" s="209">
        <v>50000</v>
      </c>
      <c r="D13" s="209">
        <v>50000</v>
      </c>
      <c r="E13" s="209">
        <v>50000</v>
      </c>
      <c r="F13" s="209">
        <v>50000</v>
      </c>
      <c r="G13" s="209">
        <v>50000</v>
      </c>
      <c r="H13" s="209">
        <v>50000</v>
      </c>
      <c r="I13" s="209">
        <v>50000</v>
      </c>
      <c r="J13" s="209">
        <v>50000</v>
      </c>
      <c r="K13" s="209">
        <v>50000</v>
      </c>
      <c r="L13" s="209">
        <v>50000</v>
      </c>
      <c r="M13" s="209">
        <v>50000</v>
      </c>
    </row>
    <row r="14" spans="2:13" ht="15" thickBot="1">
      <c r="B14" s="23" t="s">
        <v>505</v>
      </c>
      <c r="C14" s="210">
        <f aca="true" t="shared" si="4" ref="C14:M14">C12*C13</f>
        <v>1750.0000000000002</v>
      </c>
      <c r="D14" s="210">
        <f t="shared" si="4"/>
        <v>1750.0000000000002</v>
      </c>
      <c r="E14" s="210">
        <f t="shared" si="4"/>
        <v>1750.0000000000002</v>
      </c>
      <c r="F14" s="210">
        <f t="shared" si="4"/>
        <v>1750.0000000000002</v>
      </c>
      <c r="G14" s="210">
        <f t="shared" si="4"/>
        <v>1750.0000000000002</v>
      </c>
      <c r="H14" s="210">
        <f t="shared" si="4"/>
        <v>1750.0000000000002</v>
      </c>
      <c r="I14" s="210">
        <f t="shared" si="4"/>
        <v>1750.0000000000002</v>
      </c>
      <c r="J14" s="210">
        <f t="shared" si="4"/>
        <v>1750.0000000000002</v>
      </c>
      <c r="K14" s="210">
        <f t="shared" si="4"/>
        <v>1750.0000000000002</v>
      </c>
      <c r="L14" s="210">
        <f t="shared" si="4"/>
        <v>1750.0000000000002</v>
      </c>
      <c r="M14" s="210">
        <f t="shared" si="4"/>
        <v>1750.0000000000002</v>
      </c>
    </row>
    <row r="15" spans="2:13" ht="15" thickBot="1">
      <c r="B15" s="27" t="s">
        <v>506</v>
      </c>
      <c r="C15" s="209">
        <f aca="true" t="shared" si="5" ref="C15:M15">C5-C9-C13</f>
        <v>860000</v>
      </c>
      <c r="D15" s="209">
        <f t="shared" si="5"/>
        <v>614806.0091606162</v>
      </c>
      <c r="E15" s="209">
        <f t="shared" si="5"/>
        <v>611755.4137170188</v>
      </c>
      <c r="F15" s="209">
        <f t="shared" si="5"/>
        <v>611736.0903121124</v>
      </c>
      <c r="G15" s="209">
        <f t="shared" si="5"/>
        <v>606174.5733782393</v>
      </c>
      <c r="H15" s="209">
        <f t="shared" si="5"/>
        <v>608965.5851070755</v>
      </c>
      <c r="I15" s="209">
        <f t="shared" si="5"/>
        <v>608965.5851070755</v>
      </c>
      <c r="J15" s="209">
        <f t="shared" si="5"/>
        <v>608965.5851070755</v>
      </c>
      <c r="K15" s="209">
        <f t="shared" si="5"/>
        <v>617632.2263467117</v>
      </c>
      <c r="L15" s="209">
        <f t="shared" si="5"/>
        <v>617646.4226470308</v>
      </c>
      <c r="M15" s="209">
        <f t="shared" si="5"/>
        <v>617646.4226470308</v>
      </c>
    </row>
    <row r="16" spans="2:13" ht="15" thickBot="1">
      <c r="B16" s="24" t="s">
        <v>507</v>
      </c>
      <c r="C16" s="211">
        <v>0.05</v>
      </c>
      <c r="D16" s="211">
        <v>0.05</v>
      </c>
      <c r="E16" s="211">
        <v>0.05</v>
      </c>
      <c r="F16" s="211">
        <v>0.05</v>
      </c>
      <c r="G16" s="211">
        <v>0.05</v>
      </c>
      <c r="H16" s="211">
        <v>0.05</v>
      </c>
      <c r="I16" s="211">
        <v>0.05</v>
      </c>
      <c r="J16" s="211">
        <v>0.05</v>
      </c>
      <c r="K16" s="211">
        <v>0.05</v>
      </c>
      <c r="L16" s="211">
        <v>0.05</v>
      </c>
      <c r="M16" s="211">
        <v>0.05</v>
      </c>
    </row>
    <row r="17" spans="2:13" ht="15" thickBot="1">
      <c r="B17" s="25" t="s">
        <v>508</v>
      </c>
      <c r="C17" s="210">
        <f aca="true" t="shared" si="6" ref="C17:M17">C15*C16</f>
        <v>43000</v>
      </c>
      <c r="D17" s="210">
        <f t="shared" si="6"/>
        <v>30740.30045803081</v>
      </c>
      <c r="E17" s="210">
        <f t="shared" si="6"/>
        <v>30587.77068585094</v>
      </c>
      <c r="F17" s="210">
        <f t="shared" si="6"/>
        <v>30586.804515605618</v>
      </c>
      <c r="G17" s="210">
        <f t="shared" si="6"/>
        <v>30308.728668911965</v>
      </c>
      <c r="H17" s="210">
        <f t="shared" si="6"/>
        <v>30448.279255353777</v>
      </c>
      <c r="I17" s="210">
        <f t="shared" si="6"/>
        <v>30448.279255353777</v>
      </c>
      <c r="J17" s="210">
        <f t="shared" si="6"/>
        <v>30448.279255353777</v>
      </c>
      <c r="K17" s="210">
        <f t="shared" si="6"/>
        <v>30881.611317335588</v>
      </c>
      <c r="L17" s="210">
        <f t="shared" si="6"/>
        <v>30882.321132351542</v>
      </c>
      <c r="M17" s="210">
        <f t="shared" si="6"/>
        <v>30882.321132351542</v>
      </c>
    </row>
    <row r="18" spans="2:13" ht="15" thickBot="1">
      <c r="B18" s="25" t="s">
        <v>509</v>
      </c>
      <c r="C18" s="210">
        <f aca="true" t="shared" si="7" ref="C18:M18">C17+C14+C11</f>
        <v>46550</v>
      </c>
      <c r="D18" s="210">
        <f t="shared" si="7"/>
        <v>34290.30045803081</v>
      </c>
      <c r="E18" s="210">
        <f t="shared" si="7"/>
        <v>34137.77068585094</v>
      </c>
      <c r="F18" s="210">
        <f t="shared" si="7"/>
        <v>34136.80451560562</v>
      </c>
      <c r="G18" s="210">
        <f t="shared" si="7"/>
        <v>33858.728668911965</v>
      </c>
      <c r="H18" s="210">
        <f t="shared" si="7"/>
        <v>33998.27925535377</v>
      </c>
      <c r="I18" s="210">
        <f t="shared" si="7"/>
        <v>33998.27925535377</v>
      </c>
      <c r="J18" s="210">
        <f t="shared" si="7"/>
        <v>33998.27925535377</v>
      </c>
      <c r="K18" s="210">
        <f t="shared" si="7"/>
        <v>34431.611317335584</v>
      </c>
      <c r="L18" s="210">
        <f t="shared" si="7"/>
        <v>34432.32113235154</v>
      </c>
      <c r="M18" s="210">
        <f t="shared" si="7"/>
        <v>34432.32113235154</v>
      </c>
    </row>
    <row r="19" spans="2:13" ht="15" thickBot="1">
      <c r="B19" s="20" t="s">
        <v>510</v>
      </c>
      <c r="C19" s="212">
        <f aca="true" t="shared" si="8" ref="C19:M19">C18/C5</f>
        <v>0.04655</v>
      </c>
      <c r="D19" s="212">
        <f t="shared" si="8"/>
        <v>0.04542928917082075</v>
      </c>
      <c r="E19" s="212">
        <f t="shared" si="8"/>
        <v>0.04541074139667098</v>
      </c>
      <c r="F19" s="212">
        <f t="shared" si="8"/>
        <v>0.045410623429603336</v>
      </c>
      <c r="G19" s="212">
        <f t="shared" si="8"/>
        <v>0.04537641709716745</v>
      </c>
      <c r="H19" s="212">
        <f t="shared" si="8"/>
        <v>0.045393646826233314</v>
      </c>
      <c r="I19" s="212">
        <f t="shared" si="8"/>
        <v>0.045393646826233314</v>
      </c>
      <c r="J19" s="212">
        <f t="shared" si="8"/>
        <v>0.045393646826233314</v>
      </c>
      <c r="K19" s="212">
        <f t="shared" si="8"/>
        <v>0.045446339424293186</v>
      </c>
      <c r="L19" s="212">
        <f t="shared" si="8"/>
        <v>0.04544642474791006</v>
      </c>
      <c r="M19" s="212">
        <f t="shared" si="8"/>
        <v>0.04544642474791006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H1">
      <selection activeCell="B4" sqref="B4"/>
    </sheetView>
  </sheetViews>
  <sheetFormatPr defaultColWidth="12" defaultRowHeight="11.25"/>
  <cols>
    <col min="1" max="1" width="16.16015625" style="0" customWidth="1"/>
    <col min="2" max="2" width="81.5" style="0" customWidth="1"/>
    <col min="3" max="3" width="15" style="0" customWidth="1"/>
  </cols>
  <sheetData>
    <row r="1" ht="11.25">
      <c r="A1" s="122" t="s">
        <v>318</v>
      </c>
    </row>
    <row r="2" ht="12" thickBot="1">
      <c r="C2" s="9"/>
    </row>
    <row r="3" spans="2:13" ht="51.75" thickBot="1">
      <c r="B3" s="53" t="s">
        <v>6</v>
      </c>
      <c r="C3" s="18" t="s">
        <v>486</v>
      </c>
      <c r="D3" s="18" t="s">
        <v>487</v>
      </c>
      <c r="E3" s="18" t="s">
        <v>488</v>
      </c>
      <c r="F3" s="18" t="s">
        <v>489</v>
      </c>
      <c r="G3" s="18" t="s">
        <v>490</v>
      </c>
      <c r="H3" s="18" t="s">
        <v>491</v>
      </c>
      <c r="I3" s="18" t="s">
        <v>492</v>
      </c>
      <c r="J3" s="18" t="s">
        <v>493</v>
      </c>
      <c r="K3" s="18" t="s">
        <v>494</v>
      </c>
      <c r="L3" s="18" t="s">
        <v>495</v>
      </c>
      <c r="M3" s="18" t="s">
        <v>496</v>
      </c>
    </row>
    <row r="4" spans="2:13" ht="13.5" thickBot="1">
      <c r="B4" s="20" t="s">
        <v>94</v>
      </c>
      <c r="C4" s="202">
        <v>2000000</v>
      </c>
      <c r="D4" s="202">
        <v>2000000</v>
      </c>
      <c r="E4" s="202">
        <v>2000000</v>
      </c>
      <c r="F4" s="202">
        <v>2000000</v>
      </c>
      <c r="G4" s="202">
        <v>2000000</v>
      </c>
      <c r="H4" s="202">
        <v>2000000</v>
      </c>
      <c r="I4" s="202">
        <v>2000000</v>
      </c>
      <c r="J4" s="202">
        <v>2000000</v>
      </c>
      <c r="K4" s="202">
        <v>2000000</v>
      </c>
      <c r="L4" s="202">
        <v>2000000</v>
      </c>
      <c r="M4" s="202">
        <v>2000000</v>
      </c>
    </row>
    <row r="5" spans="2:13" ht="13.5" thickBot="1">
      <c r="B5" s="20" t="s">
        <v>474</v>
      </c>
      <c r="C5" s="202">
        <v>1000000</v>
      </c>
      <c r="D5" s="217">
        <f>1000000-('5_Synthèse calcul benefice net'!E25*1000000)</f>
        <v>757773.5818610439</v>
      </c>
      <c r="E5" s="217">
        <f>1000000-('5_Synthèse calcul benefice net'!F25*1000000)</f>
        <v>754819.6963267815</v>
      </c>
      <c r="F5" s="217">
        <f>1000000-('5_Synthèse calcul benefice net'!G25*1000000)</f>
        <v>754800.990280746</v>
      </c>
      <c r="G5" s="217">
        <f>1000000-('5_Synthèse calcul benefice net'!H25*1000000)</f>
        <v>749419.6546676874</v>
      </c>
      <c r="H5" s="217">
        <f>1000000-('5_Synthèse calcul benefice net'!I25*1000000)</f>
        <v>752120.3690026139</v>
      </c>
      <c r="I5" s="217">
        <f>1000000-('5_Synthèse calcul benefice net'!J25*1000000)</f>
        <v>752120.3690026139</v>
      </c>
      <c r="J5" s="217">
        <f>1000000-('5_Synthèse calcul benefice net'!K25*1000000)</f>
        <v>752120.3690026139</v>
      </c>
      <c r="K5" s="217">
        <f>1000000-('5_Synthèse calcul benefice net'!L25*1000000)</f>
        <v>760707.8987487754</v>
      </c>
      <c r="L5" s="217">
        <f>1000000-('5_Synthèse calcul benefice net'!M25*1000000)</f>
        <v>760721.6466712034</v>
      </c>
      <c r="M5" s="217">
        <f>1000000-('5_Synthèse calcul benefice net'!N25*1000000)</f>
        <v>760721.6466712034</v>
      </c>
    </row>
    <row r="6" spans="2:13" ht="29.25" customHeight="1" thickBot="1">
      <c r="B6" s="21" t="s">
        <v>96</v>
      </c>
      <c r="C6" s="203">
        <f aca="true" t="shared" si="0" ref="C6:M6">C5/C4</f>
        <v>0.5</v>
      </c>
      <c r="D6" s="203">
        <f t="shared" si="0"/>
        <v>0.37888679093052197</v>
      </c>
      <c r="E6" s="203">
        <f t="shared" si="0"/>
        <v>0.37740984816339074</v>
      </c>
      <c r="F6" s="203">
        <f t="shared" si="0"/>
        <v>0.377400495140373</v>
      </c>
      <c r="G6" s="203">
        <f t="shared" si="0"/>
        <v>0.37470982733384367</v>
      </c>
      <c r="H6" s="203">
        <f t="shared" si="0"/>
        <v>0.37606018450130696</v>
      </c>
      <c r="I6" s="203">
        <f t="shared" si="0"/>
        <v>0.37606018450130696</v>
      </c>
      <c r="J6" s="203">
        <f t="shared" si="0"/>
        <v>0.37606018450130696</v>
      </c>
      <c r="K6" s="203">
        <f t="shared" si="0"/>
        <v>0.38035394937438766</v>
      </c>
      <c r="L6" s="203">
        <f t="shared" si="0"/>
        <v>0.3803608233356017</v>
      </c>
      <c r="M6" s="203">
        <f t="shared" si="0"/>
        <v>0.3803608233356017</v>
      </c>
    </row>
    <row r="7" spans="2:13" ht="24" customHeight="1" thickBot="1">
      <c r="B7" s="21" t="s">
        <v>475</v>
      </c>
      <c r="C7" s="203">
        <v>0.045</v>
      </c>
      <c r="D7" s="203">
        <v>0.045</v>
      </c>
      <c r="E7" s="203">
        <v>0.045</v>
      </c>
      <c r="F7" s="203">
        <v>0.045</v>
      </c>
      <c r="G7" s="203">
        <v>0.045</v>
      </c>
      <c r="H7" s="203">
        <v>0.045</v>
      </c>
      <c r="I7" s="203">
        <v>0.045</v>
      </c>
      <c r="J7" s="203">
        <v>0.045</v>
      </c>
      <c r="K7" s="203">
        <v>0.045</v>
      </c>
      <c r="L7" s="203">
        <v>0.045</v>
      </c>
      <c r="M7" s="203">
        <v>0.045</v>
      </c>
    </row>
    <row r="8" spans="2:13" ht="37.5" customHeight="1" thickBot="1">
      <c r="B8" s="21" t="s">
        <v>500</v>
      </c>
      <c r="C8" s="204">
        <f aca="true" t="shared" si="1" ref="C8:M8">C7*C4</f>
        <v>90000</v>
      </c>
      <c r="D8" s="204">
        <f t="shared" si="1"/>
        <v>90000</v>
      </c>
      <c r="E8" s="204">
        <f t="shared" si="1"/>
        <v>90000</v>
      </c>
      <c r="F8" s="204">
        <f t="shared" si="1"/>
        <v>90000</v>
      </c>
      <c r="G8" s="204">
        <f t="shared" si="1"/>
        <v>90000</v>
      </c>
      <c r="H8" s="204">
        <f t="shared" si="1"/>
        <v>90000</v>
      </c>
      <c r="I8" s="204">
        <f t="shared" si="1"/>
        <v>90000</v>
      </c>
      <c r="J8" s="204">
        <f t="shared" si="1"/>
        <v>90000</v>
      </c>
      <c r="K8" s="204">
        <f t="shared" si="1"/>
        <v>90000</v>
      </c>
      <c r="L8" s="204">
        <f t="shared" si="1"/>
        <v>90000</v>
      </c>
      <c r="M8" s="204">
        <f t="shared" si="1"/>
        <v>90000</v>
      </c>
    </row>
    <row r="9" spans="2:13" ht="26.25" customHeight="1" thickBot="1">
      <c r="B9" s="200" t="s">
        <v>501</v>
      </c>
      <c r="C9" s="205">
        <f aca="true" t="shared" si="2" ref="C9:M9">C8</f>
        <v>90000</v>
      </c>
      <c r="D9" s="205">
        <f t="shared" si="2"/>
        <v>90000</v>
      </c>
      <c r="E9" s="205">
        <f t="shared" si="2"/>
        <v>90000</v>
      </c>
      <c r="F9" s="205">
        <f t="shared" si="2"/>
        <v>90000</v>
      </c>
      <c r="G9" s="205">
        <f t="shared" si="2"/>
        <v>90000</v>
      </c>
      <c r="H9" s="205">
        <f t="shared" si="2"/>
        <v>90000</v>
      </c>
      <c r="I9" s="205">
        <f t="shared" si="2"/>
        <v>90000</v>
      </c>
      <c r="J9" s="205">
        <f t="shared" si="2"/>
        <v>90000</v>
      </c>
      <c r="K9" s="205">
        <f t="shared" si="2"/>
        <v>90000</v>
      </c>
      <c r="L9" s="205">
        <f t="shared" si="2"/>
        <v>90000</v>
      </c>
      <c r="M9" s="205">
        <f t="shared" si="2"/>
        <v>90000</v>
      </c>
    </row>
    <row r="10" spans="2:13" ht="15" thickBot="1">
      <c r="B10" s="22" t="s">
        <v>502</v>
      </c>
      <c r="C10" s="206">
        <v>0.02</v>
      </c>
      <c r="D10" s="206">
        <v>0.02</v>
      </c>
      <c r="E10" s="206">
        <v>0.02</v>
      </c>
      <c r="F10" s="206">
        <v>0.02</v>
      </c>
      <c r="G10" s="206">
        <v>0.02</v>
      </c>
      <c r="H10" s="206">
        <v>0.02</v>
      </c>
      <c r="I10" s="206">
        <v>0.02</v>
      </c>
      <c r="J10" s="206">
        <v>0.02</v>
      </c>
      <c r="K10" s="206">
        <v>0.02</v>
      </c>
      <c r="L10" s="206">
        <v>0.02</v>
      </c>
      <c r="M10" s="206">
        <v>0.02</v>
      </c>
    </row>
    <row r="11" spans="2:13" ht="15" thickBot="1">
      <c r="B11" s="23" t="s">
        <v>503</v>
      </c>
      <c r="C11" s="207">
        <f aca="true" t="shared" si="3" ref="C11:M11">C10*C9</f>
        <v>1800</v>
      </c>
      <c r="D11" s="207">
        <f t="shared" si="3"/>
        <v>1800</v>
      </c>
      <c r="E11" s="207">
        <f t="shared" si="3"/>
        <v>1800</v>
      </c>
      <c r="F11" s="207">
        <f t="shared" si="3"/>
        <v>1800</v>
      </c>
      <c r="G11" s="207">
        <f t="shared" si="3"/>
        <v>1800</v>
      </c>
      <c r="H11" s="207">
        <f t="shared" si="3"/>
        <v>1800</v>
      </c>
      <c r="I11" s="207">
        <f t="shared" si="3"/>
        <v>1800</v>
      </c>
      <c r="J11" s="207">
        <f t="shared" si="3"/>
        <v>1800</v>
      </c>
      <c r="K11" s="207">
        <f t="shared" si="3"/>
        <v>1800</v>
      </c>
      <c r="L11" s="207">
        <f t="shared" si="3"/>
        <v>1800</v>
      </c>
      <c r="M11" s="207">
        <f t="shared" si="3"/>
        <v>1800</v>
      </c>
    </row>
    <row r="12" spans="2:13" ht="15" thickBot="1">
      <c r="B12" s="24" t="s">
        <v>504</v>
      </c>
      <c r="C12" s="208">
        <v>0.035</v>
      </c>
      <c r="D12" s="208">
        <v>0.035</v>
      </c>
      <c r="E12" s="208">
        <v>0.035</v>
      </c>
      <c r="F12" s="208">
        <v>0.035</v>
      </c>
      <c r="G12" s="208">
        <v>0.035</v>
      </c>
      <c r="H12" s="208">
        <v>0.035</v>
      </c>
      <c r="I12" s="208">
        <v>0.035</v>
      </c>
      <c r="J12" s="208">
        <v>0.035</v>
      </c>
      <c r="K12" s="208">
        <v>0.035</v>
      </c>
      <c r="L12" s="208">
        <v>0.035</v>
      </c>
      <c r="M12" s="208">
        <v>0.035</v>
      </c>
    </row>
    <row r="13" spans="2:13" ht="40.5" customHeight="1" thickBot="1">
      <c r="B13" s="201" t="s">
        <v>511</v>
      </c>
      <c r="C13" s="209">
        <v>50000</v>
      </c>
      <c r="D13" s="209">
        <v>50000</v>
      </c>
      <c r="E13" s="209">
        <v>50000</v>
      </c>
      <c r="F13" s="209">
        <v>50000</v>
      </c>
      <c r="G13" s="209">
        <v>50000</v>
      </c>
      <c r="H13" s="209">
        <v>50000</v>
      </c>
      <c r="I13" s="209">
        <v>50000</v>
      </c>
      <c r="J13" s="209">
        <v>50000</v>
      </c>
      <c r="K13" s="209">
        <v>50000</v>
      </c>
      <c r="L13" s="209">
        <v>50000</v>
      </c>
      <c r="M13" s="209">
        <v>50000</v>
      </c>
    </row>
    <row r="14" spans="2:13" ht="15" thickBot="1">
      <c r="B14" s="23" t="s">
        <v>505</v>
      </c>
      <c r="C14" s="210">
        <f aca="true" t="shared" si="4" ref="C14:M14">C12*C13</f>
        <v>1750.0000000000002</v>
      </c>
      <c r="D14" s="210">
        <f t="shared" si="4"/>
        <v>1750.0000000000002</v>
      </c>
      <c r="E14" s="210">
        <f t="shared" si="4"/>
        <v>1750.0000000000002</v>
      </c>
      <c r="F14" s="210">
        <f t="shared" si="4"/>
        <v>1750.0000000000002</v>
      </c>
      <c r="G14" s="210">
        <f t="shared" si="4"/>
        <v>1750.0000000000002</v>
      </c>
      <c r="H14" s="210">
        <f t="shared" si="4"/>
        <v>1750.0000000000002</v>
      </c>
      <c r="I14" s="210">
        <f t="shared" si="4"/>
        <v>1750.0000000000002</v>
      </c>
      <c r="J14" s="210">
        <f t="shared" si="4"/>
        <v>1750.0000000000002</v>
      </c>
      <c r="K14" s="210">
        <f t="shared" si="4"/>
        <v>1750.0000000000002</v>
      </c>
      <c r="L14" s="210">
        <f t="shared" si="4"/>
        <v>1750.0000000000002</v>
      </c>
      <c r="M14" s="210">
        <f t="shared" si="4"/>
        <v>1750.0000000000002</v>
      </c>
    </row>
    <row r="15" spans="2:13" ht="15" thickBot="1">
      <c r="B15" s="27" t="s">
        <v>506</v>
      </c>
      <c r="C15" s="209">
        <f aca="true" t="shared" si="5" ref="C15:M15">C5-C9-C13</f>
        <v>860000</v>
      </c>
      <c r="D15" s="209">
        <f t="shared" si="5"/>
        <v>617773.5818610439</v>
      </c>
      <c r="E15" s="209">
        <f t="shared" si="5"/>
        <v>614819.6963267815</v>
      </c>
      <c r="F15" s="209">
        <f t="shared" si="5"/>
        <v>614800.990280746</v>
      </c>
      <c r="G15" s="209">
        <f t="shared" si="5"/>
        <v>609419.6546676874</v>
      </c>
      <c r="H15" s="209">
        <f t="shared" si="5"/>
        <v>612120.3690026139</v>
      </c>
      <c r="I15" s="209">
        <f t="shared" si="5"/>
        <v>612120.3690026139</v>
      </c>
      <c r="J15" s="209">
        <f t="shared" si="5"/>
        <v>612120.3690026139</v>
      </c>
      <c r="K15" s="209">
        <f t="shared" si="5"/>
        <v>620707.8987487754</v>
      </c>
      <c r="L15" s="209">
        <f t="shared" si="5"/>
        <v>620721.6466712034</v>
      </c>
      <c r="M15" s="209">
        <f t="shared" si="5"/>
        <v>620721.6466712034</v>
      </c>
    </row>
    <row r="16" spans="2:13" ht="15" thickBot="1">
      <c r="B16" s="24" t="s">
        <v>507</v>
      </c>
      <c r="C16" s="211">
        <v>0.05</v>
      </c>
      <c r="D16" s="211">
        <v>0.05</v>
      </c>
      <c r="E16" s="211">
        <v>0.05</v>
      </c>
      <c r="F16" s="211">
        <v>0.05</v>
      </c>
      <c r="G16" s="211">
        <v>0.05</v>
      </c>
      <c r="H16" s="211">
        <v>0.05</v>
      </c>
      <c r="I16" s="211">
        <v>0.05</v>
      </c>
      <c r="J16" s="211">
        <v>0.05</v>
      </c>
      <c r="K16" s="211">
        <v>0.05</v>
      </c>
      <c r="L16" s="211">
        <v>0.05</v>
      </c>
      <c r="M16" s="211">
        <v>0.05</v>
      </c>
    </row>
    <row r="17" spans="2:13" ht="15" thickBot="1">
      <c r="B17" s="25" t="s">
        <v>508</v>
      </c>
      <c r="C17" s="210">
        <f aca="true" t="shared" si="6" ref="C17:M17">C15*C16</f>
        <v>43000</v>
      </c>
      <c r="D17" s="210">
        <f t="shared" si="6"/>
        <v>30888.679093052197</v>
      </c>
      <c r="E17" s="210">
        <f t="shared" si="6"/>
        <v>30740.984816339078</v>
      </c>
      <c r="F17" s="210">
        <f t="shared" si="6"/>
        <v>30740.049514037302</v>
      </c>
      <c r="G17" s="210">
        <f t="shared" si="6"/>
        <v>30470.98273338437</v>
      </c>
      <c r="H17" s="210">
        <f t="shared" si="6"/>
        <v>30606.018450130698</v>
      </c>
      <c r="I17" s="210">
        <f t="shared" si="6"/>
        <v>30606.018450130698</v>
      </c>
      <c r="J17" s="210">
        <f t="shared" si="6"/>
        <v>30606.018450130698</v>
      </c>
      <c r="K17" s="210">
        <f t="shared" si="6"/>
        <v>31035.39493743877</v>
      </c>
      <c r="L17" s="210">
        <f t="shared" si="6"/>
        <v>31036.082333560174</v>
      </c>
      <c r="M17" s="210">
        <f t="shared" si="6"/>
        <v>31036.082333560174</v>
      </c>
    </row>
    <row r="18" spans="2:13" ht="15" thickBot="1">
      <c r="B18" s="25" t="s">
        <v>509</v>
      </c>
      <c r="C18" s="210">
        <f aca="true" t="shared" si="7" ref="C18:M18">C17+C14+C11</f>
        <v>46550</v>
      </c>
      <c r="D18" s="210">
        <f t="shared" si="7"/>
        <v>34438.6790930522</v>
      </c>
      <c r="E18" s="210">
        <f t="shared" si="7"/>
        <v>34290.98481633908</v>
      </c>
      <c r="F18" s="210">
        <f t="shared" si="7"/>
        <v>34290.0495140373</v>
      </c>
      <c r="G18" s="210">
        <f t="shared" si="7"/>
        <v>34020.98273338437</v>
      </c>
      <c r="H18" s="210">
        <f t="shared" si="7"/>
        <v>34156.018450130694</v>
      </c>
      <c r="I18" s="210">
        <f t="shared" si="7"/>
        <v>34156.018450130694</v>
      </c>
      <c r="J18" s="210">
        <f t="shared" si="7"/>
        <v>34156.018450130694</v>
      </c>
      <c r="K18" s="210">
        <f t="shared" si="7"/>
        <v>34585.394937438774</v>
      </c>
      <c r="L18" s="210">
        <f t="shared" si="7"/>
        <v>34586.082333560174</v>
      </c>
      <c r="M18" s="210">
        <f t="shared" si="7"/>
        <v>34586.082333560174</v>
      </c>
    </row>
    <row r="19" spans="2:13" ht="15" thickBot="1">
      <c r="B19" s="20" t="s">
        <v>510</v>
      </c>
      <c r="C19" s="212">
        <f aca="true" t="shared" si="8" ref="C19:M19">C18/C5</f>
        <v>0.04655</v>
      </c>
      <c r="D19" s="212">
        <f t="shared" si="8"/>
        <v>0.0454471888667232</v>
      </c>
      <c r="E19" s="212">
        <f t="shared" si="8"/>
        <v>0.04542937205164503</v>
      </c>
      <c r="F19" s="212">
        <f t="shared" si="8"/>
        <v>0.045429258778904386</v>
      </c>
      <c r="G19" s="212">
        <f t="shared" si="8"/>
        <v>0.04539643779221427</v>
      </c>
      <c r="H19" s="212">
        <f t="shared" si="8"/>
        <v>0.04541296826653552</v>
      </c>
      <c r="I19" s="212">
        <f t="shared" si="8"/>
        <v>0.04541296826653552</v>
      </c>
      <c r="J19" s="212">
        <f t="shared" si="8"/>
        <v>0.04541296826653552</v>
      </c>
      <c r="K19" s="212">
        <f t="shared" si="8"/>
        <v>0.045464750654390984</v>
      </c>
      <c r="L19" s="212">
        <f t="shared" si="8"/>
        <v>0.04546483261637598</v>
      </c>
      <c r="M19" s="212">
        <f t="shared" si="8"/>
        <v>0.04546483261637598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26"/>
  <dimension ref="A1:F19"/>
  <sheetViews>
    <sheetView workbookViewId="0" topLeftCell="A1">
      <selection activeCell="G1" sqref="G1:G16384"/>
    </sheetView>
  </sheetViews>
  <sheetFormatPr defaultColWidth="12" defaultRowHeight="11.25"/>
  <cols>
    <col min="1" max="1" width="2.83203125" style="0" customWidth="1"/>
    <col min="2" max="2" width="85" style="0" customWidth="1"/>
    <col min="3" max="3" width="15" style="0" customWidth="1"/>
  </cols>
  <sheetData>
    <row r="1" ht="11.25">
      <c r="A1" s="122" t="s">
        <v>318</v>
      </c>
    </row>
    <row r="2" ht="12" thickBot="1">
      <c r="C2" s="9"/>
    </row>
    <row r="3" spans="2:6" ht="51.75" thickBot="1">
      <c r="B3" s="53" t="s">
        <v>7</v>
      </c>
      <c r="C3" s="18" t="s">
        <v>486</v>
      </c>
      <c r="D3" s="18" t="s">
        <v>497</v>
      </c>
      <c r="E3" s="18" t="s">
        <v>498</v>
      </c>
      <c r="F3" s="18" t="s">
        <v>499</v>
      </c>
    </row>
    <row r="4" spans="2:6" ht="13.5" thickBot="1">
      <c r="B4" s="20" t="s">
        <v>94</v>
      </c>
      <c r="C4" s="202">
        <v>2000000</v>
      </c>
      <c r="D4" s="202">
        <v>1000000</v>
      </c>
      <c r="E4" s="202">
        <v>1000000</v>
      </c>
      <c r="F4" s="202">
        <v>1000000</v>
      </c>
    </row>
    <row r="5" spans="2:6" ht="13.5" thickBot="1">
      <c r="B5" s="20" t="s">
        <v>95</v>
      </c>
      <c r="C5" s="202">
        <v>1000000</v>
      </c>
      <c r="D5" s="213">
        <f>'7_Comp_montant_charge fiscal'!N15</f>
        <v>782600</v>
      </c>
      <c r="E5" s="213">
        <f>'7_Comp_montant_charge fiscal'!O15</f>
        <v>782600</v>
      </c>
      <c r="F5" s="213">
        <f>'7_Comp_montant_charge fiscal'!P15</f>
        <v>784100</v>
      </c>
    </row>
    <row r="6" spans="2:6" ht="13.5" thickBot="1">
      <c r="B6" s="21" t="s">
        <v>96</v>
      </c>
      <c r="C6" s="203">
        <f>C5/C4</f>
        <v>0.5</v>
      </c>
      <c r="D6" s="203">
        <f>D5/D4</f>
        <v>0.7826</v>
      </c>
      <c r="E6" s="203">
        <f>E5/E4</f>
        <v>0.7826</v>
      </c>
      <c r="F6" s="203">
        <f>F5/F4</f>
        <v>0.7841</v>
      </c>
    </row>
    <row r="7" spans="2:6" ht="13.5" thickBot="1">
      <c r="B7" s="21" t="s">
        <v>517</v>
      </c>
      <c r="C7" s="203">
        <v>0.2</v>
      </c>
      <c r="D7" s="203">
        <v>0.2</v>
      </c>
      <c r="E7" s="203">
        <v>0.2</v>
      </c>
      <c r="F7" s="203">
        <v>0.2</v>
      </c>
    </row>
    <row r="8" spans="2:6" ht="13.5" thickBot="1">
      <c r="B8" s="21" t="s">
        <v>518</v>
      </c>
      <c r="C8" s="204">
        <f>C7*C5</f>
        <v>200000</v>
      </c>
      <c r="D8" s="204">
        <f>D7*D5</f>
        <v>156520</v>
      </c>
      <c r="E8" s="204">
        <f>E7*E5</f>
        <v>156520</v>
      </c>
      <c r="F8" s="204">
        <f>F7*F5</f>
        <v>156820</v>
      </c>
    </row>
    <row r="9" spans="2:6" ht="13.5" thickBot="1">
      <c r="B9" s="96" t="s">
        <v>519</v>
      </c>
      <c r="C9" s="203">
        <v>0.0155</v>
      </c>
      <c r="D9" s="203">
        <v>0.0155</v>
      </c>
      <c r="E9" s="203">
        <v>0.0155</v>
      </c>
      <c r="F9" s="203">
        <v>0.0155</v>
      </c>
    </row>
    <row r="10" spans="2:6" ht="13.5" thickBot="1">
      <c r="B10" s="23" t="s">
        <v>520</v>
      </c>
      <c r="C10" s="207">
        <f>C8*C9</f>
        <v>3100</v>
      </c>
      <c r="D10" s="207">
        <f>D8*D9</f>
        <v>2426.06</v>
      </c>
      <c r="E10" s="207">
        <f>E8*E9</f>
        <v>2426.06</v>
      </c>
      <c r="F10" s="207">
        <f>F8*F9</f>
        <v>2430.71</v>
      </c>
    </row>
    <row r="11" spans="2:6" ht="13.5" thickBot="1">
      <c r="B11" s="24" t="s">
        <v>521</v>
      </c>
      <c r="C11" s="208">
        <v>0.031</v>
      </c>
      <c r="D11" s="208">
        <v>0.031</v>
      </c>
      <c r="E11" s="208">
        <v>0.031</v>
      </c>
      <c r="F11" s="208">
        <v>0.031</v>
      </c>
    </row>
    <row r="12" spans="2:6" ht="13.5" thickBot="1">
      <c r="B12" s="27" t="s">
        <v>522</v>
      </c>
      <c r="C12" s="209">
        <v>50000</v>
      </c>
      <c r="D12" s="209">
        <v>50000</v>
      </c>
      <c r="E12" s="209">
        <v>50000</v>
      </c>
      <c r="F12" s="209">
        <v>50000</v>
      </c>
    </row>
    <row r="13" spans="2:6" ht="13.5" thickBot="1">
      <c r="B13" s="23" t="s">
        <v>523</v>
      </c>
      <c r="C13" s="210">
        <f>C11*C12</f>
        <v>1550</v>
      </c>
      <c r="D13" s="210">
        <f>D11*D12</f>
        <v>1550</v>
      </c>
      <c r="E13" s="210">
        <f>E11*E12</f>
        <v>1550</v>
      </c>
      <c r="F13" s="210">
        <f>F11*F12</f>
        <v>1550</v>
      </c>
    </row>
    <row r="14" spans="2:6" ht="13.5" thickBot="1">
      <c r="B14" s="27" t="s">
        <v>524</v>
      </c>
      <c r="C14" s="209">
        <f>C5-C8-C12</f>
        <v>750000</v>
      </c>
      <c r="D14" s="209">
        <f>D5-D8-D12</f>
        <v>576080</v>
      </c>
      <c r="E14" s="209">
        <f>E5-E8-E12</f>
        <v>576080</v>
      </c>
      <c r="F14" s="209">
        <f>F5-F8-F12</f>
        <v>577280</v>
      </c>
    </row>
    <row r="15" spans="2:6" ht="13.5" thickBot="1">
      <c r="B15" s="24" t="s">
        <v>525</v>
      </c>
      <c r="C15" s="208">
        <v>0.046</v>
      </c>
      <c r="D15" s="208">
        <v>0.046</v>
      </c>
      <c r="E15" s="208">
        <v>0.046</v>
      </c>
      <c r="F15" s="208">
        <v>0.046</v>
      </c>
    </row>
    <row r="16" spans="2:6" ht="13.5" thickBot="1">
      <c r="B16" s="25" t="s">
        <v>526</v>
      </c>
      <c r="C16" s="210">
        <f>C14*C15</f>
        <v>34500</v>
      </c>
      <c r="D16" s="210">
        <f>D14*D15</f>
        <v>26499.68</v>
      </c>
      <c r="E16" s="210">
        <f>E14*E15</f>
        <v>26499.68</v>
      </c>
      <c r="F16" s="210">
        <f>F14*F15</f>
        <v>26554.88</v>
      </c>
    </row>
    <row r="17" spans="2:6" ht="13.5" thickBot="1">
      <c r="B17" s="25" t="s">
        <v>527</v>
      </c>
      <c r="C17" s="210">
        <f>C16+C13+C10</f>
        <v>39150</v>
      </c>
      <c r="D17" s="210">
        <f>D16+D13+D10</f>
        <v>30475.74</v>
      </c>
      <c r="E17" s="210">
        <f>E16+E13+E10</f>
        <v>30475.74</v>
      </c>
      <c r="F17" s="210">
        <f>F16+F13+F10</f>
        <v>30535.59</v>
      </c>
    </row>
    <row r="18" spans="2:6" ht="13.5" thickBot="1">
      <c r="B18" s="20" t="s">
        <v>528</v>
      </c>
      <c r="C18" s="214">
        <f>C17/C5</f>
        <v>0.03915</v>
      </c>
      <c r="D18" s="214">
        <f>D17/D5</f>
        <v>0.0389416560184002</v>
      </c>
      <c r="E18" s="214">
        <f>E17/E5</f>
        <v>0.0389416560184002</v>
      </c>
      <c r="F18" s="214">
        <f>F17/F5</f>
        <v>0.038943489350848105</v>
      </c>
    </row>
    <row r="19" ht="11.25">
      <c r="C19" s="215"/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B5"/>
  <sheetViews>
    <sheetView workbookViewId="0" topLeftCell="A1">
      <selection activeCell="B6" sqref="B6"/>
    </sheetView>
  </sheetViews>
  <sheetFormatPr defaultColWidth="12" defaultRowHeight="11.25"/>
  <sheetData>
    <row r="5" ht="11.25">
      <c r="B5" s="224" t="s">
        <v>554</v>
      </c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1" sqref="G1:G16384"/>
    </sheetView>
  </sheetViews>
  <sheetFormatPr defaultColWidth="12" defaultRowHeight="11.25"/>
  <cols>
    <col min="1" max="1" width="2.83203125" style="0" customWidth="1"/>
    <col min="2" max="2" width="85" style="0" customWidth="1"/>
    <col min="3" max="3" width="15" style="0" customWidth="1"/>
  </cols>
  <sheetData>
    <row r="1" ht="11.25">
      <c r="A1" s="122" t="s">
        <v>318</v>
      </c>
    </row>
    <row r="2" ht="12" thickBot="1">
      <c r="C2" s="9"/>
    </row>
    <row r="3" spans="2:6" ht="51.75" thickBot="1">
      <c r="B3" s="53" t="s">
        <v>8</v>
      </c>
      <c r="C3" s="18" t="s">
        <v>486</v>
      </c>
      <c r="D3" s="18" t="s">
        <v>497</v>
      </c>
      <c r="E3" s="18" t="s">
        <v>498</v>
      </c>
      <c r="F3" s="18" t="s">
        <v>499</v>
      </c>
    </row>
    <row r="4" spans="2:6" ht="13.5" thickBot="1">
      <c r="B4" s="20" t="s">
        <v>94</v>
      </c>
      <c r="C4" s="202">
        <v>2000000</v>
      </c>
      <c r="D4" s="202">
        <v>1000000</v>
      </c>
      <c r="E4" s="202">
        <v>1000000</v>
      </c>
      <c r="F4" s="202">
        <v>1000000</v>
      </c>
    </row>
    <row r="5" spans="2:6" ht="13.5" thickBot="1">
      <c r="B5" s="20" t="s">
        <v>95</v>
      </c>
      <c r="C5" s="202">
        <v>1000000</v>
      </c>
      <c r="D5" s="217">
        <f>1000000-('6_Synthèse calcul taux_et cfis'!O25*1000000)</f>
        <v>782035.5889554054</v>
      </c>
      <c r="E5" s="217">
        <f>1000000-('6_Synthèse calcul taux_et cfis'!P25*1000000)</f>
        <v>782035.5889554054</v>
      </c>
      <c r="F5" s="217">
        <f>1000000-('6_Synthèse calcul taux_et cfis'!Q25*1000000)</f>
        <v>783541.6546791125</v>
      </c>
    </row>
    <row r="6" spans="2:6" ht="13.5" thickBot="1">
      <c r="B6" s="21" t="s">
        <v>96</v>
      </c>
      <c r="C6" s="203">
        <f>C5/C4</f>
        <v>0.5</v>
      </c>
      <c r="D6" s="203">
        <f>D5/D4</f>
        <v>0.7820355889554054</v>
      </c>
      <c r="E6" s="203">
        <f>E5/E4</f>
        <v>0.7820355889554054</v>
      </c>
      <c r="F6" s="203">
        <f>F5/F4</f>
        <v>0.7835416546791125</v>
      </c>
    </row>
    <row r="7" spans="2:6" ht="13.5" thickBot="1">
      <c r="B7" s="21" t="s">
        <v>517</v>
      </c>
      <c r="C7" s="203">
        <v>0.2</v>
      </c>
      <c r="D7" s="203">
        <v>0.2</v>
      </c>
      <c r="E7" s="203">
        <v>0.2</v>
      </c>
      <c r="F7" s="203">
        <v>0.2</v>
      </c>
    </row>
    <row r="8" spans="2:6" ht="13.5" thickBot="1">
      <c r="B8" s="21" t="s">
        <v>518</v>
      </c>
      <c r="C8" s="204">
        <f>C7*C5</f>
        <v>200000</v>
      </c>
      <c r="D8" s="204">
        <f>D7*D5</f>
        <v>156407.11779108108</v>
      </c>
      <c r="E8" s="204">
        <f>E7*E5</f>
        <v>156407.11779108108</v>
      </c>
      <c r="F8" s="204">
        <f>F7*F5</f>
        <v>156708.3309358225</v>
      </c>
    </row>
    <row r="9" spans="2:6" ht="13.5" thickBot="1">
      <c r="B9" s="96" t="s">
        <v>519</v>
      </c>
      <c r="C9" s="203">
        <v>0.0155</v>
      </c>
      <c r="D9" s="203">
        <v>0.0155</v>
      </c>
      <c r="E9" s="203">
        <v>0.0155</v>
      </c>
      <c r="F9" s="203">
        <v>0.0155</v>
      </c>
    </row>
    <row r="10" spans="2:6" ht="13.5" thickBot="1">
      <c r="B10" s="23" t="s">
        <v>520</v>
      </c>
      <c r="C10" s="207">
        <f>C8*C9</f>
        <v>3100</v>
      </c>
      <c r="D10" s="207">
        <f>D8*D9</f>
        <v>2424.3103257617568</v>
      </c>
      <c r="E10" s="207">
        <f>E8*E9</f>
        <v>2424.3103257617568</v>
      </c>
      <c r="F10" s="207">
        <f>F8*F9</f>
        <v>2428.9791295052487</v>
      </c>
    </row>
    <row r="11" spans="2:6" ht="13.5" thickBot="1">
      <c r="B11" s="24" t="s">
        <v>521</v>
      </c>
      <c r="C11" s="208">
        <v>0.031</v>
      </c>
      <c r="D11" s="208">
        <v>0.031</v>
      </c>
      <c r="E11" s="208">
        <v>0.031</v>
      </c>
      <c r="F11" s="208">
        <v>0.031</v>
      </c>
    </row>
    <row r="12" spans="2:6" ht="13.5" thickBot="1">
      <c r="B12" s="27" t="s">
        <v>522</v>
      </c>
      <c r="C12" s="209">
        <v>50000</v>
      </c>
      <c r="D12" s="209">
        <v>50000</v>
      </c>
      <c r="E12" s="209">
        <v>50000</v>
      </c>
      <c r="F12" s="209">
        <v>50000</v>
      </c>
    </row>
    <row r="13" spans="2:6" ht="13.5" thickBot="1">
      <c r="B13" s="23" t="s">
        <v>523</v>
      </c>
      <c r="C13" s="210">
        <f>C11*C12</f>
        <v>1550</v>
      </c>
      <c r="D13" s="210">
        <f>D11*D12</f>
        <v>1550</v>
      </c>
      <c r="E13" s="210">
        <f>E11*E12</f>
        <v>1550</v>
      </c>
      <c r="F13" s="210">
        <f>F11*F12</f>
        <v>1550</v>
      </c>
    </row>
    <row r="14" spans="2:6" ht="13.5" thickBot="1">
      <c r="B14" s="27" t="s">
        <v>524</v>
      </c>
      <c r="C14" s="209">
        <f>C5-C8-C12</f>
        <v>750000</v>
      </c>
      <c r="D14" s="209">
        <f>D5-D8-D12</f>
        <v>575628.4711643243</v>
      </c>
      <c r="E14" s="209">
        <f>E5-E8-E12</f>
        <v>575628.4711643243</v>
      </c>
      <c r="F14" s="209">
        <f>F5-F8-F12</f>
        <v>576833.32374329</v>
      </c>
    </row>
    <row r="15" spans="2:6" ht="13.5" thickBot="1">
      <c r="B15" s="24" t="s">
        <v>525</v>
      </c>
      <c r="C15" s="208">
        <v>0.046</v>
      </c>
      <c r="D15" s="208">
        <v>0.046</v>
      </c>
      <c r="E15" s="208">
        <v>0.046</v>
      </c>
      <c r="F15" s="208">
        <v>0.046</v>
      </c>
    </row>
    <row r="16" spans="2:6" ht="13.5" thickBot="1">
      <c r="B16" s="25" t="s">
        <v>526</v>
      </c>
      <c r="C16" s="210">
        <f>C14*C15</f>
        <v>34500</v>
      </c>
      <c r="D16" s="210">
        <f>D14*D15</f>
        <v>26478.90967355892</v>
      </c>
      <c r="E16" s="210">
        <f>E14*E15</f>
        <v>26478.90967355892</v>
      </c>
      <c r="F16" s="210">
        <f>F14*F15</f>
        <v>26534.33289219134</v>
      </c>
    </row>
    <row r="17" spans="2:6" ht="13.5" thickBot="1">
      <c r="B17" s="25" t="s">
        <v>527</v>
      </c>
      <c r="C17" s="210">
        <f>C16+C13+C10</f>
        <v>39150</v>
      </c>
      <c r="D17" s="210">
        <f>D16+D13+D10</f>
        <v>30453.219999320674</v>
      </c>
      <c r="E17" s="210">
        <f>E16+E13+E10</f>
        <v>30453.219999320674</v>
      </c>
      <c r="F17" s="210">
        <f>F16+F13+F10</f>
        <v>30513.31202169659</v>
      </c>
    </row>
    <row r="18" spans="2:6" ht="13.5" thickBot="1">
      <c r="B18" s="20" t="s">
        <v>528</v>
      </c>
      <c r="C18" s="214">
        <f>C17/C5</f>
        <v>0.03915</v>
      </c>
      <c r="D18" s="214">
        <f>D17/D5</f>
        <v>0.038940964361990474</v>
      </c>
      <c r="E18" s="214">
        <f>E17/E5</f>
        <v>0.038940964361990474</v>
      </c>
      <c r="F18" s="214">
        <f>F17/F5</f>
        <v>0.03894280774924832</v>
      </c>
    </row>
    <row r="19" ht="11.25">
      <c r="C19" s="215"/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3" sqref="B23"/>
    </sheetView>
  </sheetViews>
  <sheetFormatPr defaultColWidth="12" defaultRowHeight="11.25"/>
  <cols>
    <col min="1" max="1" width="2.83203125" style="0" customWidth="1"/>
    <col min="2" max="2" width="85" style="0" customWidth="1"/>
    <col min="3" max="3" width="15" style="0" customWidth="1"/>
  </cols>
  <sheetData>
    <row r="1" ht="11.25">
      <c r="A1" s="122" t="s">
        <v>318</v>
      </c>
    </row>
    <row r="2" ht="12" thickBot="1">
      <c r="C2" s="9"/>
    </row>
    <row r="3" spans="2:6" ht="51.75" thickBot="1">
      <c r="B3" s="53" t="s">
        <v>9</v>
      </c>
      <c r="C3" s="18" t="s">
        <v>486</v>
      </c>
      <c r="D3" s="18" t="s">
        <v>497</v>
      </c>
      <c r="E3" s="18" t="s">
        <v>498</v>
      </c>
      <c r="F3" s="18" t="s">
        <v>499</v>
      </c>
    </row>
    <row r="4" spans="2:6" ht="13.5" thickBot="1">
      <c r="B4" s="20" t="s">
        <v>94</v>
      </c>
      <c r="C4" s="202">
        <v>2000000</v>
      </c>
      <c r="D4" s="202">
        <v>1000000</v>
      </c>
      <c r="E4" s="202">
        <v>1000000</v>
      </c>
      <c r="F4" s="202">
        <v>1000000</v>
      </c>
    </row>
    <row r="5" spans="2:6" ht="13.5" thickBot="1">
      <c r="B5" s="20" t="s">
        <v>95</v>
      </c>
      <c r="C5" s="202">
        <v>1000000</v>
      </c>
      <c r="D5" s="217">
        <f>1000000-('5_Synthèse calcul benefice net'!O25*1000000)</f>
        <v>782651.5776373348</v>
      </c>
      <c r="E5" s="217">
        <f>1000000-('5_Synthèse calcul benefice net'!P25*1000000)</f>
        <v>782651.5776373348</v>
      </c>
      <c r="F5" s="217">
        <f>1000000-('5_Synthèse calcul benefice net'!Q25*1000000)</f>
        <v>784153.3828232933</v>
      </c>
    </row>
    <row r="6" spans="2:6" ht="13.5" thickBot="1">
      <c r="B6" s="21" t="s">
        <v>96</v>
      </c>
      <c r="C6" s="203">
        <f>C5/C4</f>
        <v>0.5</v>
      </c>
      <c r="D6" s="203">
        <f>D5/D4</f>
        <v>0.7826515776373348</v>
      </c>
      <c r="E6" s="203">
        <f>E5/E4</f>
        <v>0.7826515776373348</v>
      </c>
      <c r="F6" s="203">
        <f>F5/F4</f>
        <v>0.7841533828232933</v>
      </c>
    </row>
    <row r="7" spans="2:6" ht="13.5" thickBot="1">
      <c r="B7" s="21" t="s">
        <v>517</v>
      </c>
      <c r="C7" s="203">
        <v>0.2</v>
      </c>
      <c r="D7" s="203">
        <v>0.2</v>
      </c>
      <c r="E7" s="203">
        <v>0.2</v>
      </c>
      <c r="F7" s="203">
        <v>0.2</v>
      </c>
    </row>
    <row r="8" spans="2:6" ht="13.5" thickBot="1">
      <c r="B8" s="21" t="s">
        <v>518</v>
      </c>
      <c r="C8" s="204">
        <f>C7*C5</f>
        <v>200000</v>
      </c>
      <c r="D8" s="204">
        <f>D7*D5</f>
        <v>156530.31552746697</v>
      </c>
      <c r="E8" s="204">
        <f>E7*E5</f>
        <v>156530.31552746697</v>
      </c>
      <c r="F8" s="204">
        <f>F7*F5</f>
        <v>156830.67656465867</v>
      </c>
    </row>
    <row r="9" spans="2:6" ht="13.5" thickBot="1">
      <c r="B9" s="96" t="s">
        <v>519</v>
      </c>
      <c r="C9" s="203">
        <v>0.0155</v>
      </c>
      <c r="D9" s="203">
        <v>0.0155</v>
      </c>
      <c r="E9" s="203">
        <v>0.0155</v>
      </c>
      <c r="F9" s="203">
        <v>0.0155</v>
      </c>
    </row>
    <row r="10" spans="2:6" ht="13.5" thickBot="1">
      <c r="B10" s="23" t="s">
        <v>520</v>
      </c>
      <c r="C10" s="207">
        <f>C8*C9</f>
        <v>3100</v>
      </c>
      <c r="D10" s="207">
        <f>D8*D9</f>
        <v>2426.219890675738</v>
      </c>
      <c r="E10" s="207">
        <f>E8*E9</f>
        <v>2426.219890675738</v>
      </c>
      <c r="F10" s="207">
        <f>F8*F9</f>
        <v>2430.8754867522093</v>
      </c>
    </row>
    <row r="11" spans="2:6" ht="13.5" thickBot="1">
      <c r="B11" s="24" t="s">
        <v>521</v>
      </c>
      <c r="C11" s="208">
        <v>0.031</v>
      </c>
      <c r="D11" s="208">
        <v>0.031</v>
      </c>
      <c r="E11" s="208">
        <v>0.031</v>
      </c>
      <c r="F11" s="208">
        <v>0.031</v>
      </c>
    </row>
    <row r="12" spans="2:6" ht="13.5" thickBot="1">
      <c r="B12" s="27" t="s">
        <v>522</v>
      </c>
      <c r="C12" s="209">
        <v>50000</v>
      </c>
      <c r="D12" s="209">
        <v>50000</v>
      </c>
      <c r="E12" s="209">
        <v>50000</v>
      </c>
      <c r="F12" s="209">
        <v>50000</v>
      </c>
    </row>
    <row r="13" spans="2:6" ht="13.5" thickBot="1">
      <c r="B13" s="23" t="s">
        <v>523</v>
      </c>
      <c r="C13" s="210">
        <f>C11*C12</f>
        <v>1550</v>
      </c>
      <c r="D13" s="210">
        <f>D11*D12</f>
        <v>1550</v>
      </c>
      <c r="E13" s="210">
        <f>E11*E12</f>
        <v>1550</v>
      </c>
      <c r="F13" s="210">
        <f>F11*F12</f>
        <v>1550</v>
      </c>
    </row>
    <row r="14" spans="2:6" ht="13.5" thickBot="1">
      <c r="B14" s="27" t="s">
        <v>524</v>
      </c>
      <c r="C14" s="209">
        <f>C5-C8-C12</f>
        <v>750000</v>
      </c>
      <c r="D14" s="209">
        <f>D5-D8-D12</f>
        <v>576121.2621098679</v>
      </c>
      <c r="E14" s="209">
        <f>E5-E8-E12</f>
        <v>576121.2621098679</v>
      </c>
      <c r="F14" s="209">
        <f>F5-F8-F12</f>
        <v>577322.7062586347</v>
      </c>
    </row>
    <row r="15" spans="2:6" ht="13.5" thickBot="1">
      <c r="B15" s="24" t="s">
        <v>525</v>
      </c>
      <c r="C15" s="208">
        <v>0.046</v>
      </c>
      <c r="D15" s="208">
        <v>0.046</v>
      </c>
      <c r="E15" s="208">
        <v>0.046</v>
      </c>
      <c r="F15" s="208">
        <v>0.046</v>
      </c>
    </row>
    <row r="16" spans="2:6" ht="13.5" thickBot="1">
      <c r="B16" s="25" t="s">
        <v>526</v>
      </c>
      <c r="C16" s="210">
        <f>C14*C15</f>
        <v>34500</v>
      </c>
      <c r="D16" s="210">
        <f>D14*D15</f>
        <v>26501.57805705392</v>
      </c>
      <c r="E16" s="210">
        <f>E14*E15</f>
        <v>26501.57805705392</v>
      </c>
      <c r="F16" s="210">
        <f>F14*F15</f>
        <v>26556.844487897197</v>
      </c>
    </row>
    <row r="17" spans="2:6" ht="13.5" thickBot="1">
      <c r="B17" s="25" t="s">
        <v>527</v>
      </c>
      <c r="C17" s="210">
        <f>C16+C13+C10</f>
        <v>39150</v>
      </c>
      <c r="D17" s="210">
        <f>D16+D13+D10</f>
        <v>30477.797947729658</v>
      </c>
      <c r="E17" s="210">
        <f>E16+E13+E10</f>
        <v>30477.797947729658</v>
      </c>
      <c r="F17" s="210">
        <f>F16+F13+F10</f>
        <v>30537.719974649408</v>
      </c>
    </row>
    <row r="18" spans="2:6" ht="13.5" thickBot="1">
      <c r="B18" s="20" t="s">
        <v>528</v>
      </c>
      <c r="C18" s="214">
        <f>C17/C5</f>
        <v>0.03915</v>
      </c>
      <c r="D18" s="214">
        <f>D17/D5</f>
        <v>0.03894171917436863</v>
      </c>
      <c r="E18" s="214">
        <f>E17/E5</f>
        <v>0.03894171917436863</v>
      </c>
      <c r="F18" s="214">
        <f>F17/F5</f>
        <v>0.03894355446723998</v>
      </c>
    </row>
    <row r="19" ht="11.25">
      <c r="C19" s="215"/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E19"/>
  <sheetViews>
    <sheetView workbookViewId="0" topLeftCell="A1">
      <selection activeCell="B5" sqref="B5:D5"/>
    </sheetView>
  </sheetViews>
  <sheetFormatPr defaultColWidth="12" defaultRowHeight="11.25"/>
  <cols>
    <col min="2" max="2" width="43.83203125" style="0" customWidth="1"/>
    <col min="3" max="3" width="37.66015625" style="0" customWidth="1"/>
    <col min="4" max="4" width="33.16015625" style="0" customWidth="1"/>
  </cols>
  <sheetData>
    <row r="1" ht="11.25">
      <c r="A1" s="122" t="s">
        <v>318</v>
      </c>
    </row>
    <row r="3" ht="12" thickBot="1"/>
    <row r="4" spans="2:5" ht="22.5" customHeight="1" thickBot="1">
      <c r="B4" s="270" t="s">
        <v>10</v>
      </c>
      <c r="C4" s="271"/>
      <c r="D4" s="250"/>
      <c r="E4" s="4"/>
    </row>
    <row r="5" spans="2:5" ht="22.5" customHeight="1" thickBot="1">
      <c r="B5" s="272" t="s">
        <v>299</v>
      </c>
      <c r="C5" s="273"/>
      <c r="D5" s="250"/>
      <c r="E5" s="4"/>
    </row>
    <row r="6" spans="2:4" ht="17.25" customHeight="1" thickBot="1">
      <c r="B6" s="98" t="s">
        <v>302</v>
      </c>
      <c r="C6" s="133" t="s">
        <v>300</v>
      </c>
      <c r="D6" s="98" t="s">
        <v>301</v>
      </c>
    </row>
    <row r="7" spans="2:4" ht="33" customHeight="1" thickBot="1">
      <c r="B7" s="19" t="s">
        <v>291</v>
      </c>
      <c r="C7" s="51" t="s">
        <v>292</v>
      </c>
      <c r="D7" s="51" t="s">
        <v>304</v>
      </c>
    </row>
    <row r="8" spans="2:4" ht="24" customHeight="1" thickBot="1">
      <c r="B8" s="19" t="s">
        <v>92</v>
      </c>
      <c r="C8" s="131">
        <v>0.033</v>
      </c>
      <c r="D8" s="131">
        <v>0.085</v>
      </c>
    </row>
    <row r="9" spans="2:4" ht="40.5" customHeight="1" thickBot="1">
      <c r="B9" s="16" t="s">
        <v>205</v>
      </c>
      <c r="C9" s="131">
        <v>0.033</v>
      </c>
      <c r="D9" s="131" t="s">
        <v>303</v>
      </c>
    </row>
    <row r="10" spans="2:4" ht="36" customHeight="1" thickBot="1">
      <c r="B10" s="16" t="s">
        <v>93</v>
      </c>
      <c r="C10" s="132">
        <v>0.044</v>
      </c>
      <c r="D10" s="132" t="s">
        <v>303</v>
      </c>
    </row>
    <row r="11" spans="2:4" ht="28.5" customHeight="1" thickBot="1">
      <c r="B11" s="16" t="s">
        <v>203</v>
      </c>
      <c r="C11" s="15" t="s">
        <v>298</v>
      </c>
      <c r="D11" s="131">
        <v>0.085</v>
      </c>
    </row>
    <row r="12" spans="2:4" ht="13.5" thickBot="1">
      <c r="B12" s="272" t="s">
        <v>290</v>
      </c>
      <c r="C12" s="273"/>
      <c r="D12" s="250"/>
    </row>
    <row r="13" spans="2:4" ht="13.5" thickBot="1">
      <c r="B13" s="98" t="s">
        <v>305</v>
      </c>
      <c r="C13" s="133" t="s">
        <v>300</v>
      </c>
      <c r="D13" s="98" t="s">
        <v>301</v>
      </c>
    </row>
    <row r="14" spans="2:4" ht="13.5" thickBot="1">
      <c r="B14" s="134" t="s">
        <v>291</v>
      </c>
      <c r="C14" s="130" t="s">
        <v>293</v>
      </c>
      <c r="D14" s="136" t="s">
        <v>297</v>
      </c>
    </row>
    <row r="15" spans="2:4" ht="15" customHeight="1" thickBot="1">
      <c r="B15" s="19" t="s">
        <v>306</v>
      </c>
      <c r="C15" s="135">
        <v>0.000825</v>
      </c>
      <c r="D15" s="136" t="s">
        <v>297</v>
      </c>
    </row>
    <row r="16" spans="2:4" ht="15" customHeight="1" thickBot="1">
      <c r="B16" s="272" t="s">
        <v>296</v>
      </c>
      <c r="C16" s="275"/>
      <c r="D16" s="276"/>
    </row>
    <row r="17" spans="2:4" ht="15" customHeight="1" thickBot="1">
      <c r="B17" s="19" t="s">
        <v>294</v>
      </c>
      <c r="C17" s="277" t="s">
        <v>307</v>
      </c>
      <c r="D17" s="262"/>
    </row>
    <row r="18" spans="2:4" ht="15" customHeight="1" thickBot="1">
      <c r="B18" s="19" t="s">
        <v>295</v>
      </c>
      <c r="C18" s="277" t="s">
        <v>308</v>
      </c>
      <c r="D18" s="262"/>
    </row>
    <row r="19" spans="2:4" ht="22.5" customHeight="1" thickBot="1">
      <c r="B19" s="258" t="s">
        <v>325</v>
      </c>
      <c r="C19" s="274"/>
      <c r="D19" s="250"/>
    </row>
  </sheetData>
  <mergeCells count="7">
    <mergeCell ref="B4:D4"/>
    <mergeCell ref="B5:D5"/>
    <mergeCell ref="B12:D12"/>
    <mergeCell ref="B19:D19"/>
    <mergeCell ref="B16:D16"/>
    <mergeCell ref="C17:D17"/>
    <mergeCell ref="C18:D18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28"/>
  <dimension ref="A1:E30"/>
  <sheetViews>
    <sheetView workbookViewId="0" topLeftCell="A1">
      <selection activeCell="B4" sqref="B4:C4"/>
    </sheetView>
  </sheetViews>
  <sheetFormatPr defaultColWidth="12" defaultRowHeight="11.25"/>
  <cols>
    <col min="1" max="1" width="2.83203125" style="0" customWidth="1"/>
    <col min="2" max="2" width="122.5" style="0" customWidth="1"/>
    <col min="3" max="3" width="15" style="0" customWidth="1"/>
  </cols>
  <sheetData>
    <row r="1" ht="11.25">
      <c r="A1" s="122" t="s">
        <v>318</v>
      </c>
    </row>
    <row r="2" ht="12" thickBot="1">
      <c r="C2" s="9"/>
    </row>
    <row r="3" spans="2:3" ht="13.5" thickBot="1">
      <c r="B3" s="278" t="s">
        <v>11</v>
      </c>
      <c r="C3" s="279"/>
    </row>
    <row r="4" spans="2:3" ht="13.5" thickBot="1">
      <c r="B4" s="280" t="s">
        <v>309</v>
      </c>
      <c r="C4" s="281"/>
    </row>
    <row r="5" spans="2:3" ht="13.5" thickBot="1">
      <c r="B5" s="20" t="s">
        <v>94</v>
      </c>
      <c r="C5" s="29">
        <v>2000000</v>
      </c>
    </row>
    <row r="6" spans="2:3" ht="13.5" thickBot="1">
      <c r="B6" s="20" t="s">
        <v>95</v>
      </c>
      <c r="C6" s="29">
        <v>1000000</v>
      </c>
    </row>
    <row r="7" spans="2:3" ht="13.5" thickBot="1">
      <c r="B7" s="21" t="s">
        <v>96</v>
      </c>
      <c r="C7" s="30">
        <f>C6/C5</f>
        <v>0.5</v>
      </c>
    </row>
    <row r="8" spans="2:5" ht="13.5" thickBot="1">
      <c r="B8" s="22" t="s">
        <v>97</v>
      </c>
      <c r="C8" s="31">
        <v>0.033</v>
      </c>
      <c r="E8" s="10"/>
    </row>
    <row r="9" spans="2:3" ht="13.5" thickBot="1">
      <c r="B9" s="23" t="s">
        <v>98</v>
      </c>
      <c r="C9" s="32">
        <f>C8*C6</f>
        <v>33000</v>
      </c>
    </row>
    <row r="10" spans="2:3" ht="13.5" thickBot="1">
      <c r="B10" s="20" t="s">
        <v>186</v>
      </c>
      <c r="C10" s="33">
        <v>0.04</v>
      </c>
    </row>
    <row r="11" spans="2:3" ht="13.5" thickBot="1">
      <c r="B11" s="20" t="s">
        <v>187</v>
      </c>
      <c r="C11" s="29">
        <f>C10*C5</f>
        <v>80000</v>
      </c>
    </row>
    <row r="12" spans="2:5" ht="13.5" thickBot="1">
      <c r="B12" s="20" t="s">
        <v>188</v>
      </c>
      <c r="C12" s="29">
        <f>C6-C11</f>
        <v>920000</v>
      </c>
      <c r="E12" s="10"/>
    </row>
    <row r="13" spans="2:5" ht="13.5" thickBot="1">
      <c r="B13" s="24" t="s">
        <v>189</v>
      </c>
      <c r="C13" s="34">
        <v>0.033</v>
      </c>
      <c r="E13" s="10"/>
    </row>
    <row r="14" spans="2:3" ht="13.5" thickBot="1">
      <c r="B14" s="25" t="s">
        <v>190</v>
      </c>
      <c r="C14" s="32">
        <f>C13*C12</f>
        <v>30360</v>
      </c>
    </row>
    <row r="15" spans="2:3" ht="13.5" thickBot="1">
      <c r="B15" s="26" t="s">
        <v>191</v>
      </c>
      <c r="C15" s="35">
        <v>0.08</v>
      </c>
    </row>
    <row r="16" spans="1:3" ht="13.5" thickBot="1">
      <c r="A16" s="11"/>
      <c r="B16" s="20" t="s">
        <v>192</v>
      </c>
      <c r="C16" s="36">
        <f>C15*C5</f>
        <v>160000</v>
      </c>
    </row>
    <row r="17" spans="2:3" ht="13.5" thickBot="1">
      <c r="B17" s="25" t="s">
        <v>193</v>
      </c>
      <c r="C17" s="32">
        <f>C6-C16</f>
        <v>840000</v>
      </c>
    </row>
    <row r="18" spans="2:3" ht="13.5" thickBot="1">
      <c r="B18" s="24" t="s">
        <v>194</v>
      </c>
      <c r="C18" s="37">
        <v>0.044</v>
      </c>
    </row>
    <row r="19" spans="2:3" ht="13.5" thickBot="1">
      <c r="B19" s="25" t="s">
        <v>195</v>
      </c>
      <c r="C19" s="32">
        <f>C18*C17</f>
        <v>36960</v>
      </c>
    </row>
    <row r="20" spans="2:3" ht="13.5" thickBot="1">
      <c r="B20" s="25" t="s">
        <v>152</v>
      </c>
      <c r="C20" s="32">
        <f>C9+C14+C19</f>
        <v>100320</v>
      </c>
    </row>
    <row r="21" spans="2:3" ht="13.5" thickBot="1">
      <c r="B21" s="24" t="s">
        <v>196</v>
      </c>
      <c r="C21" s="31">
        <v>0.098</v>
      </c>
    </row>
    <row r="22" spans="2:3" ht="13.5" thickBot="1">
      <c r="B22" s="27" t="s">
        <v>197</v>
      </c>
      <c r="C22" s="38">
        <f>C21*C6</f>
        <v>98000</v>
      </c>
    </row>
    <row r="23" spans="2:3" ht="13.5" thickBot="1">
      <c r="B23" s="27" t="s">
        <v>198</v>
      </c>
      <c r="C23" s="39">
        <f>(IF(($C$20)&gt;$C$22,$C$22,$C$20))</f>
        <v>98000</v>
      </c>
    </row>
    <row r="24" spans="2:3" ht="13.5" thickBot="1">
      <c r="B24" s="28" t="s">
        <v>200</v>
      </c>
      <c r="C24" s="40">
        <f>C23/C6</f>
        <v>0.098</v>
      </c>
    </row>
    <row r="25" spans="2:3" ht="13.5" thickBot="1">
      <c r="B25" s="28" t="s">
        <v>310</v>
      </c>
      <c r="C25" s="40">
        <v>0.000825</v>
      </c>
    </row>
    <row r="26" spans="2:3" ht="13.5" thickBot="1">
      <c r="B26" s="28" t="s">
        <v>201</v>
      </c>
      <c r="C26" s="41">
        <f>C25*C5</f>
        <v>1650</v>
      </c>
    </row>
    <row r="27" spans="2:3" ht="13.5" thickBot="1">
      <c r="B27" s="28" t="s">
        <v>153</v>
      </c>
      <c r="C27" s="40">
        <f>C26/C6</f>
        <v>0.00165</v>
      </c>
    </row>
    <row r="28" spans="2:3" ht="13.5" thickBot="1">
      <c r="B28" s="28" t="s">
        <v>202</v>
      </c>
      <c r="C28" s="40">
        <f>C24+C27</f>
        <v>0.09965</v>
      </c>
    </row>
    <row r="30" ht="11.25">
      <c r="C30" s="7"/>
    </row>
  </sheetData>
  <mergeCells count="2">
    <mergeCell ref="B3:C3"/>
    <mergeCell ref="B4:C4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29"/>
  <dimension ref="A1:E29"/>
  <sheetViews>
    <sheetView workbookViewId="0" topLeftCell="A1">
      <selection activeCell="B5" sqref="B5:C5"/>
    </sheetView>
  </sheetViews>
  <sheetFormatPr defaultColWidth="12" defaultRowHeight="11.25"/>
  <cols>
    <col min="2" max="2" width="102.5" style="0" customWidth="1"/>
    <col min="3" max="3" width="15.5" style="0" customWidth="1"/>
    <col min="4" max="4" width="22.83203125" style="0" customWidth="1"/>
    <col min="5" max="5" width="15.33203125" style="0" customWidth="1"/>
  </cols>
  <sheetData>
    <row r="1" ht="11.25">
      <c r="A1" s="122" t="s">
        <v>318</v>
      </c>
    </row>
    <row r="3" ht="12" thickBot="1"/>
    <row r="4" spans="2:3" ht="13.5" thickBot="1">
      <c r="B4" s="278" t="s">
        <v>12</v>
      </c>
      <c r="C4" s="279"/>
    </row>
    <row r="5" spans="2:3" ht="13.5" thickBot="1">
      <c r="B5" s="280" t="s">
        <v>309</v>
      </c>
      <c r="C5" s="281"/>
    </row>
    <row r="6" spans="2:3" ht="13.5" thickBot="1">
      <c r="B6" s="20" t="s">
        <v>94</v>
      </c>
      <c r="C6" s="20">
        <v>2000000</v>
      </c>
    </row>
    <row r="7" spans="2:3" ht="13.5" thickBot="1">
      <c r="B7" s="20" t="s">
        <v>95</v>
      </c>
      <c r="C7" s="20">
        <v>1000000</v>
      </c>
    </row>
    <row r="8" spans="2:3" ht="23.25" customHeight="1" thickBot="1">
      <c r="B8" s="21" t="s">
        <v>96</v>
      </c>
      <c r="C8" s="138">
        <f>C7/C6</f>
        <v>0.5</v>
      </c>
    </row>
    <row r="9" spans="2:3" ht="23.25" customHeight="1" thickBot="1">
      <c r="B9" s="22" t="s">
        <v>97</v>
      </c>
      <c r="C9" s="139">
        <v>0.033</v>
      </c>
    </row>
    <row r="10" spans="2:3" ht="13.5" thickBot="1">
      <c r="B10" s="23" t="s">
        <v>217</v>
      </c>
      <c r="C10" s="25">
        <f>C9*C7</f>
        <v>33000</v>
      </c>
    </row>
    <row r="11" spans="2:3" ht="13.5" thickBot="1">
      <c r="B11" s="20" t="s">
        <v>186</v>
      </c>
      <c r="C11" s="140">
        <v>0.04</v>
      </c>
    </row>
    <row r="12" spans="2:3" ht="13.5" thickBot="1">
      <c r="B12" s="20" t="s">
        <v>187</v>
      </c>
      <c r="C12" s="20">
        <f>C11*C6</f>
        <v>80000</v>
      </c>
    </row>
    <row r="13" spans="2:3" ht="13.5" thickBot="1">
      <c r="B13" s="20" t="s">
        <v>188</v>
      </c>
      <c r="C13" s="20">
        <f>C7-C12</f>
        <v>920000</v>
      </c>
    </row>
    <row r="14" spans="2:3" ht="13.5" thickBot="1">
      <c r="B14" s="24" t="s">
        <v>189</v>
      </c>
      <c r="C14" s="139">
        <v>0.033</v>
      </c>
    </row>
    <row r="15" spans="2:3" ht="13.5" thickBot="1">
      <c r="B15" s="25" t="s">
        <v>218</v>
      </c>
      <c r="C15" s="25">
        <f>C14*C13</f>
        <v>30360</v>
      </c>
    </row>
    <row r="16" spans="2:3" ht="13.5" thickBot="1">
      <c r="B16" s="26" t="s">
        <v>191</v>
      </c>
      <c r="C16" s="141">
        <v>0.04</v>
      </c>
    </row>
    <row r="17" spans="2:3" ht="13.5" thickBot="1">
      <c r="B17" s="20" t="s">
        <v>192</v>
      </c>
      <c r="C17" s="36">
        <f>C16*C6</f>
        <v>80000</v>
      </c>
    </row>
    <row r="18" spans="2:3" ht="13.5" thickBot="1">
      <c r="B18" s="20" t="s">
        <v>219</v>
      </c>
      <c r="C18" s="20">
        <f>C13-C17</f>
        <v>840000</v>
      </c>
    </row>
    <row r="19" spans="2:3" ht="13.5" thickBot="1">
      <c r="B19" s="24" t="s">
        <v>194</v>
      </c>
      <c r="C19" s="139">
        <v>0.044</v>
      </c>
    </row>
    <row r="20" spans="2:3" ht="13.5" thickBot="1">
      <c r="B20" s="25" t="s">
        <v>220</v>
      </c>
      <c r="C20" s="25">
        <f>C19*C18</f>
        <v>36960</v>
      </c>
    </row>
    <row r="21" spans="2:3" ht="13.5" thickBot="1">
      <c r="B21" s="25" t="s">
        <v>221</v>
      </c>
      <c r="C21" s="25">
        <f>C10+C15+C20</f>
        <v>100320</v>
      </c>
    </row>
    <row r="22" spans="2:3" ht="13.5" thickBot="1">
      <c r="B22" s="24" t="s">
        <v>196</v>
      </c>
      <c r="C22" s="139">
        <v>0.098</v>
      </c>
    </row>
    <row r="23" spans="2:3" ht="13.5" thickBot="1">
      <c r="B23" s="27" t="s">
        <v>197</v>
      </c>
      <c r="C23" s="27">
        <f>C7*C22</f>
        <v>98000</v>
      </c>
    </row>
    <row r="24" spans="2:5" ht="16.5" thickBot="1">
      <c r="B24" s="27" t="s">
        <v>198</v>
      </c>
      <c r="C24" s="39">
        <f>(IF(($C$21)&gt;$C$23,$C$23,$C$21))</f>
        <v>98000</v>
      </c>
      <c r="D24" s="94"/>
      <c r="E24" s="94"/>
    </row>
    <row r="25" spans="2:3" ht="13.5" thickBot="1">
      <c r="B25" s="28" t="s">
        <v>200</v>
      </c>
      <c r="C25" s="142">
        <f>C24/C7</f>
        <v>0.098</v>
      </c>
    </row>
    <row r="26" spans="2:3" ht="13.5" thickBot="1">
      <c r="B26" s="28" t="s">
        <v>310</v>
      </c>
      <c r="C26" s="137">
        <v>0.000825</v>
      </c>
    </row>
    <row r="27" spans="2:3" ht="13.5" thickBot="1">
      <c r="B27" s="28" t="s">
        <v>201</v>
      </c>
      <c r="C27" s="41">
        <f>C26*C6</f>
        <v>1650</v>
      </c>
    </row>
    <row r="28" spans="2:3" ht="13.5" thickBot="1">
      <c r="B28" s="28" t="s">
        <v>153</v>
      </c>
      <c r="C28" s="40">
        <f>C27/C7</f>
        <v>0.00165</v>
      </c>
    </row>
    <row r="29" spans="2:3" ht="13.5" thickBot="1">
      <c r="B29" s="28" t="s">
        <v>202</v>
      </c>
      <c r="C29" s="40">
        <f>C25+C28</f>
        <v>0.09965</v>
      </c>
    </row>
  </sheetData>
  <mergeCells count="2">
    <mergeCell ref="B4:C4"/>
    <mergeCell ref="B5:C5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30"/>
  <dimension ref="A1:P21"/>
  <sheetViews>
    <sheetView workbookViewId="0" topLeftCell="J1">
      <selection activeCell="R6" sqref="R6"/>
    </sheetView>
  </sheetViews>
  <sheetFormatPr defaultColWidth="12" defaultRowHeight="11.25"/>
  <cols>
    <col min="2" max="2" width="62.66015625" style="0" customWidth="1"/>
    <col min="3" max="3" width="39.33203125" style="0" customWidth="1"/>
    <col min="4" max="4" width="17" style="0" customWidth="1"/>
    <col min="5" max="5" width="20.5" style="0" bestFit="1" customWidth="1"/>
  </cols>
  <sheetData>
    <row r="1" ht="11.25">
      <c r="A1" s="122" t="s">
        <v>318</v>
      </c>
    </row>
    <row r="3" ht="10.5" customHeight="1" thickBot="1"/>
    <row r="4" spans="2:16" ht="56.25" customHeight="1" thickBot="1">
      <c r="B4" s="6" t="s">
        <v>13</v>
      </c>
      <c r="C4" s="98" t="s">
        <v>204</v>
      </c>
      <c r="D4" s="1">
        <v>1991</v>
      </c>
      <c r="E4" s="1">
        <f>D4+1</f>
        <v>1992</v>
      </c>
      <c r="F4" s="1">
        <f aca="true" t="shared" si="0" ref="F4:L4">E4+1</f>
        <v>1993</v>
      </c>
      <c r="G4" s="1">
        <f t="shared" si="0"/>
        <v>1994</v>
      </c>
      <c r="H4" s="1">
        <f t="shared" si="0"/>
        <v>1995</v>
      </c>
      <c r="I4" s="1">
        <f t="shared" si="0"/>
        <v>1996</v>
      </c>
      <c r="J4" s="1">
        <f t="shared" si="0"/>
        <v>1997</v>
      </c>
      <c r="K4" s="1">
        <f t="shared" si="0"/>
        <v>1998</v>
      </c>
      <c r="L4" s="1">
        <f t="shared" si="0"/>
        <v>1999</v>
      </c>
      <c r="M4" s="1">
        <f>L4+1</f>
        <v>2000</v>
      </c>
      <c r="N4" s="1">
        <f>M4+1</f>
        <v>2001</v>
      </c>
      <c r="O4" s="1">
        <f>N4+1</f>
        <v>2002</v>
      </c>
      <c r="P4" s="1">
        <f>O4+1</f>
        <v>2003</v>
      </c>
    </row>
    <row r="5" spans="2:16" ht="50.25" customHeight="1" thickBot="1">
      <c r="B5" s="45" t="s">
        <v>326</v>
      </c>
      <c r="C5" s="147" t="s">
        <v>327</v>
      </c>
      <c r="D5" s="3">
        <f>'6_Synthèse calcul taux_et cfis'!$E$26</f>
        <v>0.242273</v>
      </c>
      <c r="E5" s="3">
        <f>'6_Synthèse calcul taux_et cfis'!F26</f>
        <v>0.245239</v>
      </c>
      <c r="F5" s="3">
        <f>'6_Synthèse calcul taux_et cfis'!G26</f>
        <v>0.245264</v>
      </c>
      <c r="G5" s="3">
        <f>'6_Synthèse calcul taux_et cfis'!H26</f>
        <v>0.250647</v>
      </c>
      <c r="H5" s="3">
        <f>'6_Synthèse calcul taux_et cfis'!I26</f>
        <v>0.247943</v>
      </c>
      <c r="I5" s="3">
        <f>'6_Synthèse calcul taux_et cfis'!J26</f>
        <v>0.247943</v>
      </c>
      <c r="J5" s="3">
        <f>'6_Synthèse calcul taux_et cfis'!K26</f>
        <v>0.247925</v>
      </c>
      <c r="K5" s="3">
        <f>'6_Synthèse calcul taux_et cfis'!L26</f>
        <v>0.239356</v>
      </c>
      <c r="L5" s="3">
        <f>'6_Synthèse calcul taux_et cfis'!M26</f>
        <v>0.239338</v>
      </c>
      <c r="M5" s="3">
        <f>'6_Synthèse calcul taux_et cfis'!N26</f>
        <v>0.239338</v>
      </c>
      <c r="N5" s="3">
        <f>'6_Synthèse calcul taux_et cfis'!O26</f>
        <v>0.217337</v>
      </c>
      <c r="O5" s="3">
        <f>'6_Synthèse calcul taux_et cfis'!P26</f>
        <v>0.217337</v>
      </c>
      <c r="P5" s="3">
        <f>'6_Synthèse calcul taux_et cfis'!Q26</f>
        <v>0.215834</v>
      </c>
    </row>
    <row r="6" spans="2:16" ht="29.25" customHeight="1" thickBot="1">
      <c r="B6" s="48" t="s">
        <v>328</v>
      </c>
      <c r="C6" s="63" t="s">
        <v>90</v>
      </c>
      <c r="D6" s="54">
        <v>1000000</v>
      </c>
      <c r="E6" s="54">
        <v>1000000</v>
      </c>
      <c r="F6" s="54">
        <v>1000000</v>
      </c>
      <c r="G6" s="54">
        <v>1000000</v>
      </c>
      <c r="H6" s="54">
        <v>1000000</v>
      </c>
      <c r="I6" s="54">
        <v>1000000</v>
      </c>
      <c r="J6" s="54">
        <v>1000000</v>
      </c>
      <c r="K6" s="54">
        <v>1000000</v>
      </c>
      <c r="L6" s="54">
        <v>1000000</v>
      </c>
      <c r="M6" s="54">
        <v>1000000</v>
      </c>
      <c r="N6" s="54">
        <v>1000000</v>
      </c>
      <c r="O6" s="54">
        <v>1000000</v>
      </c>
      <c r="P6" s="54">
        <v>1000000</v>
      </c>
    </row>
    <row r="7" spans="2:16" ht="29.25" customHeight="1" thickBot="1">
      <c r="B7" s="48" t="s">
        <v>329</v>
      </c>
      <c r="C7" s="63" t="s">
        <v>91</v>
      </c>
      <c r="D7" s="54">
        <v>2000000</v>
      </c>
      <c r="E7" s="54">
        <v>2000000</v>
      </c>
      <c r="F7" s="54">
        <v>2000000</v>
      </c>
      <c r="G7" s="54">
        <v>2000000</v>
      </c>
      <c r="H7" s="54">
        <v>2000000</v>
      </c>
      <c r="I7" s="54">
        <v>2000000</v>
      </c>
      <c r="J7" s="54">
        <v>2000000</v>
      </c>
      <c r="K7" s="54">
        <v>2000000</v>
      </c>
      <c r="L7" s="54">
        <v>2000000</v>
      </c>
      <c r="M7" s="54">
        <v>2000000</v>
      </c>
      <c r="N7" s="54">
        <v>2000000</v>
      </c>
      <c r="O7" s="54">
        <v>2000000</v>
      </c>
      <c r="P7" s="54">
        <v>2000000</v>
      </c>
    </row>
    <row r="8" spans="2:16" ht="29.25" customHeight="1" thickBot="1">
      <c r="B8" s="64" t="s">
        <v>330</v>
      </c>
      <c r="C8" s="65" t="s">
        <v>115</v>
      </c>
      <c r="D8" s="55">
        <f aca="true" t="shared" si="1" ref="D8:P8">D6/D7</f>
        <v>0.5</v>
      </c>
      <c r="E8" s="55">
        <f t="shared" si="1"/>
        <v>0.5</v>
      </c>
      <c r="F8" s="55">
        <f t="shared" si="1"/>
        <v>0.5</v>
      </c>
      <c r="G8" s="55">
        <f t="shared" si="1"/>
        <v>0.5</v>
      </c>
      <c r="H8" s="55">
        <f t="shared" si="1"/>
        <v>0.5</v>
      </c>
      <c r="I8" s="55">
        <f t="shared" si="1"/>
        <v>0.5</v>
      </c>
      <c r="J8" s="55">
        <f t="shared" si="1"/>
        <v>0.5</v>
      </c>
      <c r="K8" s="55">
        <f t="shared" si="1"/>
        <v>0.5</v>
      </c>
      <c r="L8" s="55">
        <f t="shared" si="1"/>
        <v>0.5</v>
      </c>
      <c r="M8" s="55">
        <f t="shared" si="1"/>
        <v>0.5</v>
      </c>
      <c r="N8" s="55">
        <f t="shared" si="1"/>
        <v>0.5</v>
      </c>
      <c r="O8" s="55">
        <f t="shared" si="1"/>
        <v>0.5</v>
      </c>
      <c r="P8" s="55">
        <f t="shared" si="1"/>
        <v>0.5</v>
      </c>
    </row>
    <row r="9" spans="2:16" ht="29.25" customHeight="1" thickBot="1">
      <c r="B9" s="64" t="s">
        <v>331</v>
      </c>
      <c r="C9" s="65" t="s">
        <v>117</v>
      </c>
      <c r="D9" s="56">
        <f aca="true" t="shared" si="2" ref="D9:P9">1/D8</f>
        <v>2</v>
      </c>
      <c r="E9" s="56">
        <f t="shared" si="2"/>
        <v>2</v>
      </c>
      <c r="F9" s="56">
        <f t="shared" si="2"/>
        <v>2</v>
      </c>
      <c r="G9" s="56">
        <f t="shared" si="2"/>
        <v>2</v>
      </c>
      <c r="H9" s="56">
        <f t="shared" si="2"/>
        <v>2</v>
      </c>
      <c r="I9" s="56">
        <f t="shared" si="2"/>
        <v>2</v>
      </c>
      <c r="J9" s="56">
        <f t="shared" si="2"/>
        <v>2</v>
      </c>
      <c r="K9" s="56">
        <f t="shared" si="2"/>
        <v>2</v>
      </c>
      <c r="L9" s="56">
        <f t="shared" si="2"/>
        <v>2</v>
      </c>
      <c r="M9" s="56">
        <f t="shared" si="2"/>
        <v>2</v>
      </c>
      <c r="N9" s="56">
        <f t="shared" si="2"/>
        <v>2</v>
      </c>
      <c r="O9" s="56">
        <f t="shared" si="2"/>
        <v>2</v>
      </c>
      <c r="P9" s="56">
        <f t="shared" si="2"/>
        <v>2</v>
      </c>
    </row>
    <row r="10" spans="2:16" ht="29.25" customHeight="1" thickBot="1">
      <c r="B10" s="45" t="s">
        <v>332</v>
      </c>
      <c r="C10" s="66" t="s">
        <v>199</v>
      </c>
      <c r="D10" s="8">
        <f>'16_Multiplicateurs '!D7</f>
        <v>4.58216</v>
      </c>
      <c r="E10" s="8">
        <f>'16_Multiplicateurs '!E7</f>
        <v>4.69067</v>
      </c>
      <c r="F10" s="8">
        <f>'16_Multiplicateurs '!F7</f>
        <v>4.6913599999999995</v>
      </c>
      <c r="G10" s="8">
        <f>'16_Multiplicateurs '!G7</f>
        <v>4.891359999999999</v>
      </c>
      <c r="H10" s="8">
        <f>'16_Multiplicateurs '!H7</f>
        <v>4.792</v>
      </c>
      <c r="I10" s="8">
        <f>'16_Multiplicateurs '!I7</f>
        <v>4.792</v>
      </c>
      <c r="J10" s="8">
        <f>'16_Multiplicateurs '!J7</f>
        <v>4.792</v>
      </c>
      <c r="K10" s="8">
        <f>'16_Multiplicateurs '!K7</f>
        <v>4.792</v>
      </c>
      <c r="L10" s="8">
        <f>'16_Multiplicateurs '!L7</f>
        <v>4.791499999999999</v>
      </c>
      <c r="M10" s="8">
        <f>'16_Multiplicateurs '!M7</f>
        <v>4.791499999999999</v>
      </c>
      <c r="N10" s="8">
        <f>'16_Multiplicateurs '!N7</f>
        <v>4.791499999999999</v>
      </c>
      <c r="O10" s="8">
        <f>'16_Multiplicateurs '!O7</f>
        <v>4.791499999999999</v>
      </c>
      <c r="P10" s="8">
        <f>'16_Multiplicateurs '!P7</f>
        <v>4.791499999999999</v>
      </c>
    </row>
    <row r="11" spans="2:16" ht="29.25" customHeight="1" thickBot="1">
      <c r="B11" s="12" t="s">
        <v>333</v>
      </c>
      <c r="C11" s="58" t="s">
        <v>160</v>
      </c>
      <c r="D11" s="148">
        <f>'15_tk_Taux nominal capital'!D7</f>
        <v>0.000825</v>
      </c>
      <c r="E11" s="148">
        <f>'15_tk_Taux nominal capital'!E7</f>
        <v>0.000825</v>
      </c>
      <c r="F11" s="148">
        <f>'15_tk_Taux nominal capital'!F7</f>
        <v>0.000825</v>
      </c>
      <c r="G11" s="148">
        <f>'15_tk_Taux nominal capital'!G7</f>
        <v>0.000825</v>
      </c>
      <c r="H11" s="148">
        <f>'15_tk_Taux nominal capital'!H7</f>
        <v>0.0008</v>
      </c>
      <c r="I11" s="148">
        <f>'15_tk_Taux nominal capital'!I7</f>
        <v>0.0008</v>
      </c>
      <c r="J11" s="148">
        <f>'15_tk_Taux nominal capital'!J7</f>
        <v>0.0008</v>
      </c>
      <c r="K11" s="148">
        <f>'15_tk_Taux nominal capital'!K7</f>
        <v>0</v>
      </c>
      <c r="L11" s="148">
        <f>'15_tk_Taux nominal capital'!L7</f>
        <v>0</v>
      </c>
      <c r="M11" s="148">
        <f>'15_tk_Taux nominal capital'!M7</f>
        <v>0</v>
      </c>
      <c r="N11" s="148">
        <f>'15_tk_Taux nominal capital'!N7</f>
        <v>0</v>
      </c>
      <c r="O11" s="148">
        <f>'15_tk_Taux nominal capital'!O7</f>
        <v>0</v>
      </c>
      <c r="P11" s="148">
        <f>'15_tk_Taux nominal capital'!P7</f>
        <v>0</v>
      </c>
    </row>
    <row r="12" spans="2:16" ht="29.25" customHeight="1" thickBot="1">
      <c r="B12" s="14" t="s">
        <v>334</v>
      </c>
      <c r="C12" s="58" t="s">
        <v>154</v>
      </c>
      <c r="D12" s="13">
        <f aca="true" t="shared" si="3" ref="D12:P12">D11*D9</f>
        <v>0.00165</v>
      </c>
      <c r="E12" s="13">
        <f t="shared" si="3"/>
        <v>0.00165</v>
      </c>
      <c r="F12" s="13">
        <f t="shared" si="3"/>
        <v>0.00165</v>
      </c>
      <c r="G12" s="13">
        <f t="shared" si="3"/>
        <v>0.00165</v>
      </c>
      <c r="H12" s="13">
        <f t="shared" si="3"/>
        <v>0.0016</v>
      </c>
      <c r="I12" s="13">
        <f t="shared" si="3"/>
        <v>0.0016</v>
      </c>
      <c r="J12" s="13">
        <f t="shared" si="3"/>
        <v>0.0016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  <c r="P12" s="13">
        <f t="shared" si="3"/>
        <v>0</v>
      </c>
    </row>
    <row r="13" spans="2:16" ht="29.25" customHeight="1" thickBot="1">
      <c r="B13" s="12" t="s">
        <v>335</v>
      </c>
      <c r="C13" s="68" t="s">
        <v>163</v>
      </c>
      <c r="D13" s="13">
        <f>'19_Données taux capital'!D5</f>
        <v>0.0009355</v>
      </c>
      <c r="E13" s="13">
        <f>'19_Données taux capital'!E5</f>
        <v>0.0009355</v>
      </c>
      <c r="F13" s="13">
        <f>'19_Données taux capital'!F5</f>
        <v>0.0009355</v>
      </c>
      <c r="G13" s="13">
        <f>'19_Données taux capital'!G5</f>
        <v>0.0009355</v>
      </c>
      <c r="H13" s="13">
        <f>'19_Données taux capital'!H5</f>
        <v>0.0009355</v>
      </c>
      <c r="I13" s="13">
        <f>'19_Données taux capital'!I5</f>
        <v>0.0009355</v>
      </c>
      <c r="J13" s="13">
        <f>'19_Données taux capital'!J5</f>
        <v>0.0009355</v>
      </c>
      <c r="K13" s="13">
        <f>'19_Données taux capital'!K5</f>
        <v>0.0009355</v>
      </c>
      <c r="L13" s="13">
        <f>'19_Données taux capital'!L5</f>
        <v>0.0009355</v>
      </c>
      <c r="M13" s="13">
        <f>'19_Données taux capital'!M5</f>
        <v>0.0009355</v>
      </c>
      <c r="N13" s="13">
        <f>'19_Données taux capital'!N5</f>
        <v>0.0005</v>
      </c>
      <c r="O13" s="13">
        <f>'19_Données taux capital'!O5</f>
        <v>0.0005</v>
      </c>
      <c r="P13" s="13">
        <f>'19_Données taux capital'!P5</f>
        <v>0.0003</v>
      </c>
    </row>
    <row r="14" spans="2:16" ht="29.25" customHeight="1" thickBot="1">
      <c r="B14" s="12" t="s">
        <v>336</v>
      </c>
      <c r="C14" s="77" t="s">
        <v>164</v>
      </c>
      <c r="D14" s="13">
        <f aca="true" t="shared" si="4" ref="D14:P14">D13*D10</f>
        <v>0.0042866106800000005</v>
      </c>
      <c r="E14" s="13">
        <f t="shared" si="4"/>
        <v>0.004388121785</v>
      </c>
      <c r="F14" s="13">
        <f t="shared" si="4"/>
        <v>0.00438876728</v>
      </c>
      <c r="G14" s="13">
        <f t="shared" si="4"/>
        <v>0.004575867279999999</v>
      </c>
      <c r="H14" s="13">
        <f t="shared" si="4"/>
        <v>0.004482916</v>
      </c>
      <c r="I14" s="13">
        <f t="shared" si="4"/>
        <v>0.004482916</v>
      </c>
      <c r="J14" s="13">
        <f t="shared" si="4"/>
        <v>0.004482916</v>
      </c>
      <c r="K14" s="13">
        <f t="shared" si="4"/>
        <v>0.004482916</v>
      </c>
      <c r="L14" s="13">
        <f t="shared" si="4"/>
        <v>0.004482448249999999</v>
      </c>
      <c r="M14" s="13">
        <f t="shared" si="4"/>
        <v>0.004482448249999999</v>
      </c>
      <c r="N14" s="13">
        <f t="shared" si="4"/>
        <v>0.0023957499999999994</v>
      </c>
      <c r="O14" s="13">
        <f t="shared" si="4"/>
        <v>0.0023957499999999994</v>
      </c>
      <c r="P14" s="13">
        <f t="shared" si="4"/>
        <v>0.0014374499999999996</v>
      </c>
    </row>
    <row r="15" spans="2:16" ht="29.25" customHeight="1" thickBot="1">
      <c r="B15" s="12" t="s">
        <v>337</v>
      </c>
      <c r="C15" s="58" t="s">
        <v>81</v>
      </c>
      <c r="D15" s="13">
        <f aca="true" t="shared" si="5" ref="D15:P15">D13*D9*D10</f>
        <v>0.008573221360000001</v>
      </c>
      <c r="E15" s="13">
        <f t="shared" si="5"/>
        <v>0.00877624357</v>
      </c>
      <c r="F15" s="13">
        <f t="shared" si="5"/>
        <v>0.00877753456</v>
      </c>
      <c r="G15" s="13">
        <f t="shared" si="5"/>
        <v>0.009151734559999998</v>
      </c>
      <c r="H15" s="13">
        <f t="shared" si="5"/>
        <v>0.008965832</v>
      </c>
      <c r="I15" s="13">
        <f t="shared" si="5"/>
        <v>0.008965832</v>
      </c>
      <c r="J15" s="13">
        <f t="shared" si="5"/>
        <v>0.008965832</v>
      </c>
      <c r="K15" s="13">
        <f t="shared" si="5"/>
        <v>0.008965832</v>
      </c>
      <c r="L15" s="13">
        <f t="shared" si="5"/>
        <v>0.008964896499999998</v>
      </c>
      <c r="M15" s="13">
        <f t="shared" si="5"/>
        <v>0.008964896499999998</v>
      </c>
      <c r="N15" s="13">
        <f t="shared" si="5"/>
        <v>0.004791499999999999</v>
      </c>
      <c r="O15" s="13">
        <f t="shared" si="5"/>
        <v>0.004791499999999999</v>
      </c>
      <c r="P15" s="13">
        <f t="shared" si="5"/>
        <v>0.0028748999999999992</v>
      </c>
    </row>
    <row r="16" spans="2:16" ht="29.25" customHeight="1" thickBot="1">
      <c r="B16" s="53" t="s">
        <v>338</v>
      </c>
      <c r="C16" s="60" t="s">
        <v>82</v>
      </c>
      <c r="D16" s="59">
        <f aca="true" t="shared" si="6" ref="D16:P17">D11+D14</f>
        <v>0.005111610680000001</v>
      </c>
      <c r="E16" s="59">
        <f t="shared" si="6"/>
        <v>0.005213121785</v>
      </c>
      <c r="F16" s="59">
        <f t="shared" si="6"/>
        <v>0.00521376728</v>
      </c>
      <c r="G16" s="59">
        <f t="shared" si="6"/>
        <v>0.005400867279999999</v>
      </c>
      <c r="H16" s="59">
        <f t="shared" si="6"/>
        <v>0.005282916</v>
      </c>
      <c r="I16" s="59">
        <f t="shared" si="6"/>
        <v>0.005282916</v>
      </c>
      <c r="J16" s="59">
        <f t="shared" si="6"/>
        <v>0.005282916</v>
      </c>
      <c r="K16" s="59">
        <f t="shared" si="6"/>
        <v>0.004482916</v>
      </c>
      <c r="L16" s="59">
        <f t="shared" si="6"/>
        <v>0.004482448249999999</v>
      </c>
      <c r="M16" s="59">
        <f t="shared" si="6"/>
        <v>0.004482448249999999</v>
      </c>
      <c r="N16" s="59">
        <f t="shared" si="6"/>
        <v>0.0023957499999999994</v>
      </c>
      <c r="O16" s="59">
        <f t="shared" si="6"/>
        <v>0.0023957499999999994</v>
      </c>
      <c r="P16" s="59">
        <f t="shared" si="6"/>
        <v>0.0014374499999999996</v>
      </c>
    </row>
    <row r="17" spans="2:16" ht="29.25" customHeight="1" thickBot="1">
      <c r="B17" s="53" t="s">
        <v>339</v>
      </c>
      <c r="C17" s="60" t="s">
        <v>156</v>
      </c>
      <c r="D17" s="59">
        <f t="shared" si="6"/>
        <v>0.010223221360000001</v>
      </c>
      <c r="E17" s="59">
        <f t="shared" si="6"/>
        <v>0.01042624357</v>
      </c>
      <c r="F17" s="59">
        <f t="shared" si="6"/>
        <v>0.01042753456</v>
      </c>
      <c r="G17" s="59">
        <f t="shared" si="6"/>
        <v>0.010801734559999998</v>
      </c>
      <c r="H17" s="59">
        <f t="shared" si="6"/>
        <v>0.010565832</v>
      </c>
      <c r="I17" s="59">
        <f t="shared" si="6"/>
        <v>0.010565832</v>
      </c>
      <c r="J17" s="59">
        <f t="shared" si="6"/>
        <v>0.010565832</v>
      </c>
      <c r="K17" s="59">
        <f t="shared" si="6"/>
        <v>0.008965832</v>
      </c>
      <c r="L17" s="59">
        <f t="shared" si="6"/>
        <v>0.008964896499999998</v>
      </c>
      <c r="M17" s="59">
        <f t="shared" si="6"/>
        <v>0.008964896499999998</v>
      </c>
      <c r="N17" s="59">
        <f t="shared" si="6"/>
        <v>0.004791499999999999</v>
      </c>
      <c r="O17" s="59">
        <f t="shared" si="6"/>
        <v>0.004791499999999999</v>
      </c>
      <c r="P17" s="59">
        <f t="shared" si="6"/>
        <v>0.0028748999999999992</v>
      </c>
    </row>
    <row r="18" spans="2:16" ht="29.25" customHeight="1" thickBot="1">
      <c r="B18" s="2" t="s">
        <v>340</v>
      </c>
      <c r="C18" s="46" t="s">
        <v>341</v>
      </c>
      <c r="D18" s="3">
        <f aca="true" t="shared" si="7" ref="D18:P18">(D5-D17)/(1-D5)</f>
        <v>0.30624456913901704</v>
      </c>
      <c r="E18" s="3">
        <f t="shared" si="7"/>
        <v>0.31110875685150663</v>
      </c>
      <c r="F18" s="3">
        <f t="shared" si="7"/>
        <v>0.31115047571601195</v>
      </c>
      <c r="G18" s="3">
        <f t="shared" si="7"/>
        <v>0.32006980080149144</v>
      </c>
      <c r="H18" s="3">
        <f t="shared" si="7"/>
        <v>0.3156372030311532</v>
      </c>
      <c r="I18" s="3">
        <f t="shared" si="7"/>
        <v>0.3156372030311532</v>
      </c>
      <c r="J18" s="3">
        <f t="shared" si="7"/>
        <v>0.31560571485556627</v>
      </c>
      <c r="K18" s="3">
        <f t="shared" si="7"/>
        <v>0.3028882999142832</v>
      </c>
      <c r="L18" s="3">
        <f t="shared" si="7"/>
        <v>0.3028586987387302</v>
      </c>
      <c r="M18" s="3">
        <f t="shared" si="7"/>
        <v>0.3028586987387302</v>
      </c>
      <c r="N18" s="3">
        <f t="shared" si="7"/>
        <v>0.2715670729292173</v>
      </c>
      <c r="O18" s="3">
        <f t="shared" si="7"/>
        <v>0.2715670729292173</v>
      </c>
      <c r="P18" s="3">
        <f t="shared" si="7"/>
        <v>0.27157400346355237</v>
      </c>
    </row>
    <row r="19" spans="2:16" ht="29.25" customHeight="1" thickBot="1">
      <c r="B19" s="2" t="s">
        <v>342</v>
      </c>
      <c r="C19" s="46" t="s">
        <v>89</v>
      </c>
      <c r="D19" s="3">
        <f>'14_tc_Taux nominal bénéfice'!$D$7</f>
        <v>0.098</v>
      </c>
      <c r="E19" s="3">
        <f>'14_tc_Taux nominal bénéfice'!E7</f>
        <v>0.098</v>
      </c>
      <c r="F19" s="3">
        <f>'14_tc_Taux nominal bénéfice'!F7</f>
        <v>0.098</v>
      </c>
      <c r="G19" s="3">
        <f>'14_tc_Taux nominal bénéfice'!G7</f>
        <v>0.098</v>
      </c>
      <c r="H19" s="3">
        <f>'14_tc_Taux nominal bénéfice'!H7</f>
        <v>0.098</v>
      </c>
      <c r="I19" s="3">
        <f>'14_tc_Taux nominal bénéfice'!I7</f>
        <v>0.098</v>
      </c>
      <c r="J19" s="3">
        <f>'14_tc_Taux nominal bénéfice'!J7</f>
        <v>0.098</v>
      </c>
      <c r="K19" s="3">
        <f>'14_tc_Taux nominal bénéfice'!K7</f>
        <v>0.085</v>
      </c>
      <c r="L19" s="3">
        <f>'14_tc_Taux nominal bénéfice'!L7</f>
        <v>0.085</v>
      </c>
      <c r="M19" s="3">
        <f>'14_tc_Taux nominal bénéfice'!M7</f>
        <v>0.085</v>
      </c>
      <c r="N19" s="3">
        <f>'14_tc_Taux nominal bénéfice'!N7</f>
        <v>0.085</v>
      </c>
      <c r="O19" s="3">
        <f>'14_tc_Taux nominal bénéfice'!O7</f>
        <v>0.085</v>
      </c>
      <c r="P19" s="3">
        <f>'14_tc_Taux nominal bénéfice'!P7</f>
        <v>0.085</v>
      </c>
    </row>
    <row r="20" spans="2:16" ht="29.25" customHeight="1" thickBot="1">
      <c r="B20" s="2" t="s">
        <v>343</v>
      </c>
      <c r="C20" s="46" t="s">
        <v>344</v>
      </c>
      <c r="D20" s="3">
        <f aca="true" t="shared" si="8" ref="D20:P20">D18-D19</f>
        <v>0.20824456913901704</v>
      </c>
      <c r="E20" s="3">
        <f t="shared" si="8"/>
        <v>0.21310875685150663</v>
      </c>
      <c r="F20" s="3">
        <f t="shared" si="8"/>
        <v>0.21315047571601195</v>
      </c>
      <c r="G20" s="3">
        <f t="shared" si="8"/>
        <v>0.22206980080149144</v>
      </c>
      <c r="H20" s="3">
        <f t="shared" si="8"/>
        <v>0.21763720303115322</v>
      </c>
      <c r="I20" s="3">
        <f t="shared" si="8"/>
        <v>0.21763720303115322</v>
      </c>
      <c r="J20" s="3">
        <f t="shared" si="8"/>
        <v>0.21760571485556626</v>
      </c>
      <c r="K20" s="3">
        <f t="shared" si="8"/>
        <v>0.21788829991428316</v>
      </c>
      <c r="L20" s="3">
        <f t="shared" si="8"/>
        <v>0.2178586987387302</v>
      </c>
      <c r="M20" s="3">
        <f t="shared" si="8"/>
        <v>0.2178586987387302</v>
      </c>
      <c r="N20" s="3">
        <f t="shared" si="8"/>
        <v>0.18656707292921726</v>
      </c>
      <c r="O20" s="3">
        <f t="shared" si="8"/>
        <v>0.18656707292921726</v>
      </c>
      <c r="P20" s="3">
        <f t="shared" si="8"/>
        <v>0.18657400346355235</v>
      </c>
    </row>
    <row r="21" spans="2:16" ht="29.25" customHeight="1" thickBot="1">
      <c r="B21" s="2" t="s">
        <v>345</v>
      </c>
      <c r="C21" s="46" t="s">
        <v>346</v>
      </c>
      <c r="D21" s="3">
        <f aca="true" t="shared" si="9" ref="D21:P21">D20/D10</f>
        <v>0.04544681310539506</v>
      </c>
      <c r="E21" s="3">
        <f t="shared" si="9"/>
        <v>0.045432476991881035</v>
      </c>
      <c r="F21" s="3">
        <f t="shared" si="9"/>
        <v>0.04543468753538675</v>
      </c>
      <c r="G21" s="3">
        <f t="shared" si="9"/>
        <v>0.045400420496853944</v>
      </c>
      <c r="H21" s="3">
        <f t="shared" si="9"/>
        <v>0.045416778595816616</v>
      </c>
      <c r="I21" s="3">
        <f t="shared" si="9"/>
        <v>0.045416778595816616</v>
      </c>
      <c r="J21" s="3">
        <f t="shared" si="9"/>
        <v>0.04541020760758895</v>
      </c>
      <c r="K21" s="3">
        <f t="shared" si="9"/>
        <v>0.04546917777843973</v>
      </c>
      <c r="L21" s="3">
        <f t="shared" si="9"/>
        <v>0.04546774470181159</v>
      </c>
      <c r="M21" s="3">
        <f t="shared" si="9"/>
        <v>0.04546774470181159</v>
      </c>
      <c r="N21" s="3">
        <f t="shared" si="9"/>
        <v>0.038937091292751184</v>
      </c>
      <c r="O21" s="3">
        <f t="shared" si="9"/>
        <v>0.038937091292751184</v>
      </c>
      <c r="P21" s="3">
        <f t="shared" si="9"/>
        <v>0.03893853771544451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31"/>
  <dimension ref="A1:P23"/>
  <sheetViews>
    <sheetView workbookViewId="0" topLeftCell="H1">
      <selection activeCell="R6" sqref="R6"/>
    </sheetView>
  </sheetViews>
  <sheetFormatPr defaultColWidth="12" defaultRowHeight="11.25"/>
  <cols>
    <col min="2" max="2" width="54.16015625" style="0" customWidth="1"/>
    <col min="3" max="3" width="38.66015625" style="0" customWidth="1"/>
    <col min="4" max="4" width="15.5" style="0" customWidth="1"/>
    <col min="5" max="5" width="13.83203125" style="0" customWidth="1"/>
    <col min="6" max="7" width="11" style="0" customWidth="1"/>
    <col min="9" max="9" width="11.16015625" style="0" customWidth="1"/>
    <col min="10" max="11" width="10.33203125" style="0" customWidth="1"/>
    <col min="12" max="12" width="9.83203125" style="0" customWidth="1"/>
    <col min="13" max="13" width="9.66015625" style="0" customWidth="1"/>
    <col min="15" max="15" width="10.33203125" style="0" customWidth="1"/>
    <col min="16" max="16" width="13.16015625" style="0" customWidth="1"/>
  </cols>
  <sheetData>
    <row r="1" ht="11.25">
      <c r="A1" s="122" t="s">
        <v>318</v>
      </c>
    </row>
    <row r="3" ht="13.5" customHeight="1" thickBot="1"/>
    <row r="4" spans="2:16" ht="51.75" customHeight="1" thickBot="1">
      <c r="B4" s="6" t="s">
        <v>14</v>
      </c>
      <c r="C4" s="98" t="s">
        <v>204</v>
      </c>
      <c r="D4" s="1">
        <v>1991</v>
      </c>
      <c r="E4" s="1">
        <f>D4+1</f>
        <v>1992</v>
      </c>
      <c r="F4" s="1">
        <f aca="true" t="shared" si="0" ref="F4:N4">E4+1</f>
        <v>1993</v>
      </c>
      <c r="G4" s="1">
        <f t="shared" si="0"/>
        <v>1994</v>
      </c>
      <c r="H4" s="1">
        <f t="shared" si="0"/>
        <v>1995</v>
      </c>
      <c r="I4" s="1">
        <f t="shared" si="0"/>
        <v>1996</v>
      </c>
      <c r="J4" s="1">
        <f t="shared" si="0"/>
        <v>1997</v>
      </c>
      <c r="K4" s="1">
        <f t="shared" si="0"/>
        <v>1998</v>
      </c>
      <c r="L4" s="1">
        <f t="shared" si="0"/>
        <v>1999</v>
      </c>
      <c r="M4" s="1">
        <f t="shared" si="0"/>
        <v>2000</v>
      </c>
      <c r="N4" s="1">
        <f t="shared" si="0"/>
        <v>2001</v>
      </c>
      <c r="O4" s="1">
        <f>N4+1</f>
        <v>2002</v>
      </c>
      <c r="P4" s="1">
        <f>O4+1</f>
        <v>2003</v>
      </c>
    </row>
    <row r="5" spans="2:16" ht="51" customHeight="1" thickBot="1">
      <c r="B5" s="45" t="s">
        <v>326</v>
      </c>
      <c r="C5" s="147" t="s">
        <v>327</v>
      </c>
      <c r="D5" s="3">
        <f>'6_Synthèse calcul taux_et cfis'!E26</f>
        <v>0.242273</v>
      </c>
      <c r="E5" s="3">
        <f>'6_Synthèse calcul taux_et cfis'!F26</f>
        <v>0.245239</v>
      </c>
      <c r="F5" s="3">
        <f>'6_Synthèse calcul taux_et cfis'!G26</f>
        <v>0.245264</v>
      </c>
      <c r="G5" s="3">
        <f>'6_Synthèse calcul taux_et cfis'!H26</f>
        <v>0.250647</v>
      </c>
      <c r="H5" s="3">
        <f>'6_Synthèse calcul taux_et cfis'!I26</f>
        <v>0.247943</v>
      </c>
      <c r="I5" s="3">
        <f>'6_Synthèse calcul taux_et cfis'!J26</f>
        <v>0.247943</v>
      </c>
      <c r="J5" s="3">
        <f>'6_Synthèse calcul taux_et cfis'!K26</f>
        <v>0.247925</v>
      </c>
      <c r="K5" s="3">
        <f>'6_Synthèse calcul taux_et cfis'!L26</f>
        <v>0.239356</v>
      </c>
      <c r="L5" s="3">
        <f>'6_Synthèse calcul taux_et cfis'!M26</f>
        <v>0.239338</v>
      </c>
      <c r="M5" s="3">
        <f>'6_Synthèse calcul taux_et cfis'!N26</f>
        <v>0.239338</v>
      </c>
      <c r="N5" s="3">
        <f>'6_Synthèse calcul taux_et cfis'!O26</f>
        <v>0.217337</v>
      </c>
      <c r="O5" s="3">
        <f>'6_Synthèse calcul taux_et cfis'!P26</f>
        <v>0.217337</v>
      </c>
      <c r="P5" s="3">
        <f>'6_Synthèse calcul taux_et cfis'!Q26</f>
        <v>0.215834</v>
      </c>
    </row>
    <row r="6" spans="2:16" ht="29.25" customHeight="1" thickBot="1">
      <c r="B6" s="48" t="s">
        <v>328</v>
      </c>
      <c r="C6" s="63" t="s">
        <v>90</v>
      </c>
      <c r="D6" s="54">
        <v>1000000</v>
      </c>
      <c r="E6" s="54">
        <v>1000000</v>
      </c>
      <c r="F6" s="54">
        <v>1000000</v>
      </c>
      <c r="G6" s="54">
        <v>1000000</v>
      </c>
      <c r="H6" s="54">
        <v>1000000</v>
      </c>
      <c r="I6" s="54">
        <v>1000000</v>
      </c>
      <c r="J6" s="54">
        <v>1000000</v>
      </c>
      <c r="K6" s="54">
        <v>1000000</v>
      </c>
      <c r="L6" s="54">
        <v>1000000</v>
      </c>
      <c r="M6" s="54">
        <v>1000000</v>
      </c>
      <c r="N6" s="54">
        <v>1000000</v>
      </c>
      <c r="O6" s="54">
        <v>1000000</v>
      </c>
      <c r="P6" s="54">
        <v>1000000</v>
      </c>
    </row>
    <row r="7" spans="2:16" ht="25.5" customHeight="1" thickBot="1">
      <c r="B7" s="48" t="s">
        <v>329</v>
      </c>
      <c r="C7" s="63" t="s">
        <v>91</v>
      </c>
      <c r="D7" s="54">
        <v>2000000</v>
      </c>
      <c r="E7" s="54">
        <v>2000000</v>
      </c>
      <c r="F7" s="54">
        <v>2000000</v>
      </c>
      <c r="G7" s="54">
        <v>2000000</v>
      </c>
      <c r="H7" s="54">
        <v>2000000</v>
      </c>
      <c r="I7" s="54">
        <v>2000000</v>
      </c>
      <c r="J7" s="54">
        <v>2000000</v>
      </c>
      <c r="K7" s="54">
        <v>2000000</v>
      </c>
      <c r="L7" s="54">
        <v>2000000</v>
      </c>
      <c r="M7" s="54">
        <v>2000000</v>
      </c>
      <c r="N7" s="54">
        <v>2000000</v>
      </c>
      <c r="O7" s="54">
        <v>2000000</v>
      </c>
      <c r="P7" s="54">
        <v>2000000</v>
      </c>
    </row>
    <row r="8" spans="2:16" ht="25.5" customHeight="1" thickBot="1">
      <c r="B8" s="64" t="s">
        <v>330</v>
      </c>
      <c r="C8" s="65" t="s">
        <v>115</v>
      </c>
      <c r="D8" s="55">
        <f aca="true" t="shared" si="1" ref="D8:P8">D6/D7</f>
        <v>0.5</v>
      </c>
      <c r="E8" s="55">
        <f t="shared" si="1"/>
        <v>0.5</v>
      </c>
      <c r="F8" s="55">
        <f t="shared" si="1"/>
        <v>0.5</v>
      </c>
      <c r="G8" s="55">
        <f t="shared" si="1"/>
        <v>0.5</v>
      </c>
      <c r="H8" s="55">
        <f t="shared" si="1"/>
        <v>0.5</v>
      </c>
      <c r="I8" s="55">
        <f t="shared" si="1"/>
        <v>0.5</v>
      </c>
      <c r="J8" s="55">
        <f t="shared" si="1"/>
        <v>0.5</v>
      </c>
      <c r="K8" s="55">
        <f t="shared" si="1"/>
        <v>0.5</v>
      </c>
      <c r="L8" s="55">
        <f t="shared" si="1"/>
        <v>0.5</v>
      </c>
      <c r="M8" s="55">
        <f t="shared" si="1"/>
        <v>0.5</v>
      </c>
      <c r="N8" s="55">
        <f t="shared" si="1"/>
        <v>0.5</v>
      </c>
      <c r="O8" s="55">
        <f t="shared" si="1"/>
        <v>0.5</v>
      </c>
      <c r="P8" s="55">
        <f t="shared" si="1"/>
        <v>0.5</v>
      </c>
    </row>
    <row r="9" spans="2:16" ht="29.25" customHeight="1" thickBot="1">
      <c r="B9" s="64" t="s">
        <v>331</v>
      </c>
      <c r="C9" s="65" t="s">
        <v>117</v>
      </c>
      <c r="D9" s="56">
        <f aca="true" t="shared" si="2" ref="D9:P9">1/D8</f>
        <v>2</v>
      </c>
      <c r="E9" s="56">
        <f t="shared" si="2"/>
        <v>2</v>
      </c>
      <c r="F9" s="56">
        <f t="shared" si="2"/>
        <v>2</v>
      </c>
      <c r="G9" s="56">
        <f t="shared" si="2"/>
        <v>2</v>
      </c>
      <c r="H9" s="56">
        <f t="shared" si="2"/>
        <v>2</v>
      </c>
      <c r="I9" s="56">
        <f t="shared" si="2"/>
        <v>2</v>
      </c>
      <c r="J9" s="56">
        <f t="shared" si="2"/>
        <v>2</v>
      </c>
      <c r="K9" s="56">
        <f t="shared" si="2"/>
        <v>2</v>
      </c>
      <c r="L9" s="56">
        <f t="shared" si="2"/>
        <v>2</v>
      </c>
      <c r="M9" s="56">
        <f t="shared" si="2"/>
        <v>2</v>
      </c>
      <c r="N9" s="56">
        <f t="shared" si="2"/>
        <v>2</v>
      </c>
      <c r="O9" s="56">
        <f t="shared" si="2"/>
        <v>2</v>
      </c>
      <c r="P9" s="56">
        <f t="shared" si="2"/>
        <v>2</v>
      </c>
    </row>
    <row r="10" spans="2:16" ht="30.75" customHeight="1" thickBot="1">
      <c r="B10" s="45" t="s">
        <v>332</v>
      </c>
      <c r="C10" s="66" t="s">
        <v>199</v>
      </c>
      <c r="D10" s="8">
        <f>'16_Multiplicateurs '!D7</f>
        <v>4.58216</v>
      </c>
      <c r="E10" s="8">
        <f>'16_Multiplicateurs '!E7</f>
        <v>4.69067</v>
      </c>
      <c r="F10" s="8">
        <f>'16_Multiplicateurs '!F7</f>
        <v>4.6913599999999995</v>
      </c>
      <c r="G10" s="8">
        <f>'16_Multiplicateurs '!G7</f>
        <v>4.891359999999999</v>
      </c>
      <c r="H10" s="8">
        <f>'16_Multiplicateurs '!H7</f>
        <v>4.792</v>
      </c>
      <c r="I10" s="8">
        <f>'16_Multiplicateurs '!I7</f>
        <v>4.792</v>
      </c>
      <c r="J10" s="8">
        <f>'16_Multiplicateurs '!J7</f>
        <v>4.792</v>
      </c>
      <c r="K10" s="8">
        <f>'16_Multiplicateurs '!K7</f>
        <v>4.792</v>
      </c>
      <c r="L10" s="8">
        <f>'16_Multiplicateurs '!L7</f>
        <v>4.791499999999999</v>
      </c>
      <c r="M10" s="8">
        <f>'16_Multiplicateurs '!M7</f>
        <v>4.791499999999999</v>
      </c>
      <c r="N10" s="8">
        <f>'16_Multiplicateurs '!N7</f>
        <v>4.791499999999999</v>
      </c>
      <c r="O10" s="8">
        <f>'16_Multiplicateurs '!O7</f>
        <v>4.791499999999999</v>
      </c>
      <c r="P10" s="8">
        <f>'16_Multiplicateurs '!P7</f>
        <v>4.791499999999999</v>
      </c>
    </row>
    <row r="11" spans="2:16" ht="29.25" customHeight="1" thickBot="1">
      <c r="B11" s="12" t="s">
        <v>347</v>
      </c>
      <c r="C11" s="149" t="s">
        <v>348</v>
      </c>
      <c r="D11" s="13">
        <f>'33_retrouver tb quand tk donné'!D21</f>
        <v>0.04544681310539506</v>
      </c>
      <c r="E11" s="13">
        <f>'33_retrouver tb quand tk donné'!E21</f>
        <v>0.045432476991881035</v>
      </c>
      <c r="F11" s="13">
        <f>'33_retrouver tb quand tk donné'!F21</f>
        <v>0.04543468753538675</v>
      </c>
      <c r="G11" s="13">
        <f>'33_retrouver tb quand tk donné'!G21</f>
        <v>0.045400420496853944</v>
      </c>
      <c r="H11" s="13">
        <f>'33_retrouver tb quand tk donné'!H21</f>
        <v>0.045416778595816616</v>
      </c>
      <c r="I11" s="13">
        <f>'33_retrouver tb quand tk donné'!I21</f>
        <v>0.045416778595816616</v>
      </c>
      <c r="J11" s="13">
        <f>'33_retrouver tb quand tk donné'!J21</f>
        <v>0.04541020760758895</v>
      </c>
      <c r="K11" s="13">
        <f>'33_retrouver tb quand tk donné'!K21</f>
        <v>0.04546917777843973</v>
      </c>
      <c r="L11" s="13">
        <f>'33_retrouver tb quand tk donné'!L21</f>
        <v>0.04546774470181159</v>
      </c>
      <c r="M11" s="13">
        <f>'33_retrouver tb quand tk donné'!M21</f>
        <v>0.04546774470181159</v>
      </c>
      <c r="N11" s="13">
        <f>'33_retrouver tb quand tk donné'!N21</f>
        <v>0.038937091292751184</v>
      </c>
      <c r="O11" s="13">
        <f>'33_retrouver tb quand tk donné'!O21</f>
        <v>0.038937091292751184</v>
      </c>
      <c r="P11" s="13">
        <f>'33_retrouver tb quand tk donné'!P21</f>
        <v>0.03893853771544451</v>
      </c>
    </row>
    <row r="12" spans="2:16" ht="29.25" customHeight="1" thickBot="1">
      <c r="B12" s="12" t="s">
        <v>349</v>
      </c>
      <c r="C12" s="149" t="s">
        <v>350</v>
      </c>
      <c r="D12" s="13">
        <f aca="true" t="shared" si="3" ref="D12:P12">D11*D10</f>
        <v>0.20824456913901704</v>
      </c>
      <c r="E12" s="13">
        <f t="shared" si="3"/>
        <v>0.2131087568515066</v>
      </c>
      <c r="F12" s="13">
        <f t="shared" si="3"/>
        <v>0.21315047571601195</v>
      </c>
      <c r="G12" s="13">
        <f t="shared" si="3"/>
        <v>0.22206980080149144</v>
      </c>
      <c r="H12" s="13">
        <f t="shared" si="3"/>
        <v>0.21763720303115322</v>
      </c>
      <c r="I12" s="13">
        <f t="shared" si="3"/>
        <v>0.21763720303115322</v>
      </c>
      <c r="J12" s="13">
        <f t="shared" si="3"/>
        <v>0.21760571485556626</v>
      </c>
      <c r="K12" s="13">
        <f t="shared" si="3"/>
        <v>0.21788829991428318</v>
      </c>
      <c r="L12" s="13">
        <f t="shared" si="3"/>
        <v>0.2178586987387302</v>
      </c>
      <c r="M12" s="13">
        <f t="shared" si="3"/>
        <v>0.2178586987387302</v>
      </c>
      <c r="N12" s="13">
        <f t="shared" si="3"/>
        <v>0.18656707292921726</v>
      </c>
      <c r="O12" s="13">
        <f t="shared" si="3"/>
        <v>0.18656707292921726</v>
      </c>
      <c r="P12" s="13">
        <f t="shared" si="3"/>
        <v>0.18657400346355235</v>
      </c>
    </row>
    <row r="13" spans="2:16" ht="29.25" customHeight="1" thickBot="1">
      <c r="B13" s="12" t="s">
        <v>351</v>
      </c>
      <c r="C13" s="149" t="s">
        <v>89</v>
      </c>
      <c r="D13" s="13">
        <f>'14_tc_Taux nominal bénéfice'!D7</f>
        <v>0.098</v>
      </c>
      <c r="E13" s="13">
        <f>'14_tc_Taux nominal bénéfice'!E7</f>
        <v>0.098</v>
      </c>
      <c r="F13" s="13">
        <f>'14_tc_Taux nominal bénéfice'!F7</f>
        <v>0.098</v>
      </c>
      <c r="G13" s="13">
        <f>'14_tc_Taux nominal bénéfice'!G7</f>
        <v>0.098</v>
      </c>
      <c r="H13" s="13">
        <f>'14_tc_Taux nominal bénéfice'!H7</f>
        <v>0.098</v>
      </c>
      <c r="I13" s="13">
        <f>'14_tc_Taux nominal bénéfice'!I7</f>
        <v>0.098</v>
      </c>
      <c r="J13" s="13">
        <f>'14_tc_Taux nominal bénéfice'!J7</f>
        <v>0.098</v>
      </c>
      <c r="K13" s="13">
        <f>'14_tc_Taux nominal bénéfice'!K7</f>
        <v>0.085</v>
      </c>
      <c r="L13" s="13">
        <f>'14_tc_Taux nominal bénéfice'!L7</f>
        <v>0.085</v>
      </c>
      <c r="M13" s="13">
        <f>'14_tc_Taux nominal bénéfice'!M7</f>
        <v>0.085</v>
      </c>
      <c r="N13" s="13">
        <f>'14_tc_Taux nominal bénéfice'!N7</f>
        <v>0.085</v>
      </c>
      <c r="O13" s="13">
        <f>'14_tc_Taux nominal bénéfice'!O7</f>
        <v>0.085</v>
      </c>
      <c r="P13" s="13">
        <f>'14_tc_Taux nominal bénéfice'!P7</f>
        <v>0.085</v>
      </c>
    </row>
    <row r="14" spans="2:16" ht="29.25" customHeight="1" thickBot="1">
      <c r="B14" s="12" t="s">
        <v>352</v>
      </c>
      <c r="C14" s="149" t="s">
        <v>353</v>
      </c>
      <c r="D14" s="13">
        <f aca="true" t="shared" si="4" ref="D14:P14">D12+D13</f>
        <v>0.30624456913901704</v>
      </c>
      <c r="E14" s="13">
        <f t="shared" si="4"/>
        <v>0.31110875685150663</v>
      </c>
      <c r="F14" s="13">
        <f t="shared" si="4"/>
        <v>0.31115047571601195</v>
      </c>
      <c r="G14" s="13">
        <f t="shared" si="4"/>
        <v>0.32006980080149144</v>
      </c>
      <c r="H14" s="13">
        <f t="shared" si="4"/>
        <v>0.3156372030311532</v>
      </c>
      <c r="I14" s="13">
        <f t="shared" si="4"/>
        <v>0.3156372030311532</v>
      </c>
      <c r="J14" s="13">
        <f t="shared" si="4"/>
        <v>0.31560571485556627</v>
      </c>
      <c r="K14" s="13">
        <f t="shared" si="4"/>
        <v>0.3028882999142832</v>
      </c>
      <c r="L14" s="13">
        <f t="shared" si="4"/>
        <v>0.3028586987387302</v>
      </c>
      <c r="M14" s="13">
        <f t="shared" si="4"/>
        <v>0.3028586987387302</v>
      </c>
      <c r="N14" s="13">
        <f t="shared" si="4"/>
        <v>0.2715670729292173</v>
      </c>
      <c r="O14" s="13">
        <f t="shared" si="4"/>
        <v>0.2715670729292173</v>
      </c>
      <c r="P14" s="13">
        <f t="shared" si="4"/>
        <v>0.27157400346355237</v>
      </c>
    </row>
    <row r="15" spans="2:16" ht="29.25" customHeight="1" thickBot="1">
      <c r="B15" s="12" t="s">
        <v>354</v>
      </c>
      <c r="C15" s="149" t="s">
        <v>355</v>
      </c>
      <c r="D15" s="148">
        <f aca="true" t="shared" si="5" ref="D15:P15">D5*(1+D14)-D14</f>
        <v>0.010223221359999979</v>
      </c>
      <c r="E15" s="148">
        <f t="shared" si="5"/>
        <v>0.010426243570000049</v>
      </c>
      <c r="F15" s="148">
        <f t="shared" si="5"/>
        <v>0.010427534560000007</v>
      </c>
      <c r="G15" s="148">
        <f t="shared" si="5"/>
        <v>0.010801734559999998</v>
      </c>
      <c r="H15" s="148">
        <f t="shared" si="5"/>
        <v>0.010565831999999997</v>
      </c>
      <c r="I15" s="148">
        <f t="shared" si="5"/>
        <v>0.010565831999999997</v>
      </c>
      <c r="J15" s="148">
        <f t="shared" si="5"/>
        <v>0.010565831999999997</v>
      </c>
      <c r="K15" s="148">
        <f t="shared" si="5"/>
        <v>0.008965832000000007</v>
      </c>
      <c r="L15" s="148">
        <f t="shared" si="5"/>
        <v>0.008964896499999986</v>
      </c>
      <c r="M15" s="148">
        <f t="shared" si="5"/>
        <v>0.008964896499999986</v>
      </c>
      <c r="N15" s="148">
        <f t="shared" si="5"/>
        <v>0.004791500000000004</v>
      </c>
      <c r="O15" s="148">
        <f t="shared" si="5"/>
        <v>0.004791500000000004</v>
      </c>
      <c r="P15" s="148">
        <f t="shared" si="5"/>
        <v>0.002874899999999958</v>
      </c>
    </row>
    <row r="16" spans="2:16" ht="29.25" customHeight="1" thickBot="1">
      <c r="B16" s="12" t="s">
        <v>356</v>
      </c>
      <c r="C16" s="58" t="s">
        <v>160</v>
      </c>
      <c r="D16" s="13">
        <f>'19_Données taux capital'!D4</f>
        <v>0.000825</v>
      </c>
      <c r="E16" s="13">
        <f>'19_Données taux capital'!E4</f>
        <v>0.000825</v>
      </c>
      <c r="F16" s="13">
        <f>'19_Données taux capital'!F4</f>
        <v>0.000825</v>
      </c>
      <c r="G16" s="13">
        <f>'19_Données taux capital'!G4</f>
        <v>0.000825</v>
      </c>
      <c r="H16" s="13">
        <f>'19_Données taux capital'!H4</f>
        <v>0.0008</v>
      </c>
      <c r="I16" s="13">
        <f>'19_Données taux capital'!I4</f>
        <v>0.0008</v>
      </c>
      <c r="J16" s="13">
        <f>'19_Données taux capital'!J4</f>
        <v>0.0008</v>
      </c>
      <c r="K16" s="13">
        <f>'19_Données taux capital'!K4</f>
        <v>0</v>
      </c>
      <c r="L16" s="13">
        <f>'19_Données taux capital'!L4</f>
        <v>0</v>
      </c>
      <c r="M16" s="13">
        <f>'19_Données taux capital'!M4</f>
        <v>0</v>
      </c>
      <c r="N16" s="13">
        <f>'19_Données taux capital'!N4</f>
        <v>0</v>
      </c>
      <c r="O16" s="13">
        <f>'19_Données taux capital'!O4</f>
        <v>0</v>
      </c>
      <c r="P16" s="13">
        <f>'19_Données taux capital'!P4</f>
        <v>0</v>
      </c>
    </row>
    <row r="17" spans="2:16" ht="29.25" customHeight="1" thickBot="1">
      <c r="B17" s="14" t="s">
        <v>357</v>
      </c>
      <c r="C17" s="58" t="s">
        <v>358</v>
      </c>
      <c r="D17" s="13">
        <f aca="true" t="shared" si="6" ref="D17:P17">D16*D9</f>
        <v>0.00165</v>
      </c>
      <c r="E17" s="13">
        <f t="shared" si="6"/>
        <v>0.00165</v>
      </c>
      <c r="F17" s="13">
        <f t="shared" si="6"/>
        <v>0.00165</v>
      </c>
      <c r="G17" s="13">
        <f t="shared" si="6"/>
        <v>0.00165</v>
      </c>
      <c r="H17" s="13">
        <f t="shared" si="6"/>
        <v>0.0016</v>
      </c>
      <c r="I17" s="13">
        <f t="shared" si="6"/>
        <v>0.0016</v>
      </c>
      <c r="J17" s="13">
        <f t="shared" si="6"/>
        <v>0.0016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0</v>
      </c>
      <c r="O17" s="13">
        <f t="shared" si="6"/>
        <v>0</v>
      </c>
      <c r="P17" s="13">
        <f t="shared" si="6"/>
        <v>0</v>
      </c>
    </row>
    <row r="18" spans="2:16" ht="29.25" customHeight="1" thickBot="1">
      <c r="B18" s="12" t="s">
        <v>73</v>
      </c>
      <c r="C18" s="58" t="s">
        <v>359</v>
      </c>
      <c r="D18" s="148">
        <f aca="true" t="shared" si="7" ref="D18:P18">D15-D17</f>
        <v>0.008573221359999978</v>
      </c>
      <c r="E18" s="148">
        <f t="shared" si="7"/>
        <v>0.008776243570000048</v>
      </c>
      <c r="F18" s="148">
        <f t="shared" si="7"/>
        <v>0.008777534560000006</v>
      </c>
      <c r="G18" s="148">
        <f t="shared" si="7"/>
        <v>0.009151734559999998</v>
      </c>
      <c r="H18" s="148">
        <f t="shared" si="7"/>
        <v>0.008965831999999996</v>
      </c>
      <c r="I18" s="148">
        <f t="shared" si="7"/>
        <v>0.008965831999999996</v>
      </c>
      <c r="J18" s="148">
        <f t="shared" si="7"/>
        <v>0.008965831999999996</v>
      </c>
      <c r="K18" s="148">
        <f t="shared" si="7"/>
        <v>0.008965832000000007</v>
      </c>
      <c r="L18" s="148">
        <f t="shared" si="7"/>
        <v>0.008964896499999986</v>
      </c>
      <c r="M18" s="148">
        <f t="shared" si="7"/>
        <v>0.008964896499999986</v>
      </c>
      <c r="N18" s="148">
        <f t="shared" si="7"/>
        <v>0.004791500000000004</v>
      </c>
      <c r="O18" s="148">
        <f t="shared" si="7"/>
        <v>0.004791500000000004</v>
      </c>
      <c r="P18" s="148">
        <f t="shared" si="7"/>
        <v>0.002874899999999958</v>
      </c>
    </row>
    <row r="19" spans="1:16" ht="29.25" customHeight="1" thickBot="1">
      <c r="A19" t="s">
        <v>360</v>
      </c>
      <c r="B19" s="12" t="s">
        <v>361</v>
      </c>
      <c r="C19" s="77" t="s">
        <v>362</v>
      </c>
      <c r="D19" s="150">
        <f aca="true" t="shared" si="8" ref="D19:P20">D18/D9</f>
        <v>0.004286610679999989</v>
      </c>
      <c r="E19" s="150">
        <f t="shared" si="8"/>
        <v>0.004388121785000024</v>
      </c>
      <c r="F19" s="150">
        <f t="shared" si="8"/>
        <v>0.004388767280000003</v>
      </c>
      <c r="G19" s="150">
        <f t="shared" si="8"/>
        <v>0.004575867279999999</v>
      </c>
      <c r="H19" s="150">
        <f t="shared" si="8"/>
        <v>0.004482915999999998</v>
      </c>
      <c r="I19" s="150">
        <f t="shared" si="8"/>
        <v>0.004482915999999998</v>
      </c>
      <c r="J19" s="150">
        <f t="shared" si="8"/>
        <v>0.004482915999999998</v>
      </c>
      <c r="K19" s="150">
        <f t="shared" si="8"/>
        <v>0.0044829160000000035</v>
      </c>
      <c r="L19" s="150">
        <f t="shared" si="8"/>
        <v>0.004482448249999993</v>
      </c>
      <c r="M19" s="150">
        <f t="shared" si="8"/>
        <v>0.004482448249999993</v>
      </c>
      <c r="N19" s="150">
        <f t="shared" si="8"/>
        <v>0.002395750000000002</v>
      </c>
      <c r="O19" s="150">
        <f t="shared" si="8"/>
        <v>0.002395750000000002</v>
      </c>
      <c r="P19" s="150">
        <f t="shared" si="8"/>
        <v>0.001437449999999979</v>
      </c>
    </row>
    <row r="20" spans="2:16" ht="29.25" customHeight="1" thickBot="1">
      <c r="B20" s="12" t="s">
        <v>363</v>
      </c>
      <c r="C20" s="68" t="s">
        <v>364</v>
      </c>
      <c r="D20" s="150">
        <f t="shared" si="8"/>
        <v>0.0009354999999999976</v>
      </c>
      <c r="E20" s="150">
        <f t="shared" si="8"/>
        <v>0.0009355000000000052</v>
      </c>
      <c r="F20" s="150">
        <f t="shared" si="8"/>
        <v>0.0009355000000000008</v>
      </c>
      <c r="G20" s="150">
        <f t="shared" si="8"/>
        <v>0.0009355</v>
      </c>
      <c r="H20" s="150">
        <f t="shared" si="8"/>
        <v>0.0009354999999999997</v>
      </c>
      <c r="I20" s="150">
        <f t="shared" si="8"/>
        <v>0.0009354999999999997</v>
      </c>
      <c r="J20" s="150">
        <f t="shared" si="8"/>
        <v>0.0009354999999999997</v>
      </c>
      <c r="K20" s="150">
        <f t="shared" si="8"/>
        <v>0.0009355000000000008</v>
      </c>
      <c r="L20" s="150">
        <f t="shared" si="8"/>
        <v>0.0009354999999999987</v>
      </c>
      <c r="M20" s="216">
        <f t="shared" si="8"/>
        <v>0.0009354999999999987</v>
      </c>
      <c r="N20" s="150">
        <f t="shared" si="8"/>
        <v>0.0005000000000000006</v>
      </c>
      <c r="O20" s="150">
        <f t="shared" si="8"/>
        <v>0.0005000000000000006</v>
      </c>
      <c r="P20" s="150">
        <f t="shared" si="8"/>
        <v>0.0002999999999999957</v>
      </c>
    </row>
    <row r="21" spans="2:16" ht="26.25" thickBot="1">
      <c r="B21" s="45" t="s">
        <v>365</v>
      </c>
      <c r="C21" s="151" t="s">
        <v>366</v>
      </c>
      <c r="D21" s="152">
        <f>'19_Données taux capital'!D5</f>
        <v>0.0009355</v>
      </c>
      <c r="E21" s="152">
        <f>'19_Données taux capital'!E5</f>
        <v>0.0009355</v>
      </c>
      <c r="F21" s="152">
        <f>'19_Données taux capital'!F5</f>
        <v>0.0009355</v>
      </c>
      <c r="G21" s="152">
        <f>'19_Données taux capital'!G5</f>
        <v>0.0009355</v>
      </c>
      <c r="H21" s="152">
        <f>'19_Données taux capital'!H5</f>
        <v>0.0009355</v>
      </c>
      <c r="I21" s="152">
        <f>'19_Données taux capital'!I5</f>
        <v>0.0009355</v>
      </c>
      <c r="J21" s="152">
        <f>'19_Données taux capital'!J5</f>
        <v>0.0009355</v>
      </c>
      <c r="K21" s="152">
        <f>'19_Données taux capital'!K5</f>
        <v>0.0009355</v>
      </c>
      <c r="L21" s="152">
        <f>'19_Données taux capital'!L5</f>
        <v>0.0009355</v>
      </c>
      <c r="M21" s="152">
        <f>'19_Données taux capital'!M5</f>
        <v>0.0009355</v>
      </c>
      <c r="N21" s="152">
        <f>'19_Données taux capital'!N5</f>
        <v>0.0005</v>
      </c>
      <c r="O21" s="152">
        <f>'19_Données taux capital'!O5</f>
        <v>0.0005</v>
      </c>
      <c r="P21" s="152">
        <f>'19_Données taux capital'!P5</f>
        <v>0.0003</v>
      </c>
    </row>
    <row r="22" spans="2:16" ht="13.5" thickBot="1">
      <c r="B22" s="45" t="s">
        <v>367</v>
      </c>
      <c r="C22" s="151" t="s">
        <v>255</v>
      </c>
      <c r="D22" s="152">
        <f>D20-D21</f>
        <v>-2.3852447794681098E-18</v>
      </c>
      <c r="E22" s="152">
        <f aca="true" t="shared" si="9" ref="E22:O22">E20-E21</f>
        <v>5.204170427930421E-18</v>
      </c>
      <c r="F22" s="152">
        <f t="shared" si="9"/>
        <v>0</v>
      </c>
      <c r="G22" s="152">
        <f t="shared" si="9"/>
        <v>0</v>
      </c>
      <c r="H22" s="152">
        <f t="shared" si="9"/>
        <v>0</v>
      </c>
      <c r="I22" s="152">
        <f t="shared" si="9"/>
        <v>0</v>
      </c>
      <c r="J22" s="152">
        <f t="shared" si="9"/>
        <v>0</v>
      </c>
      <c r="K22" s="152">
        <f t="shared" si="9"/>
        <v>0</v>
      </c>
      <c r="L22" s="152">
        <f t="shared" si="9"/>
        <v>-1.3010426069826053E-18</v>
      </c>
      <c r="M22" s="152">
        <f t="shared" si="9"/>
        <v>-1.3010426069826053E-18</v>
      </c>
      <c r="N22" s="152">
        <f t="shared" si="9"/>
        <v>0</v>
      </c>
      <c r="O22" s="152">
        <f t="shared" si="9"/>
        <v>0</v>
      </c>
      <c r="P22" s="152">
        <f>P20-P21</f>
        <v>-4.2825985813177425E-18</v>
      </c>
    </row>
    <row r="23" spans="4:5" ht="11.25">
      <c r="D23" s="153"/>
      <c r="E23" s="153"/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W22"/>
  <sheetViews>
    <sheetView workbookViewId="0" topLeftCell="K1">
      <selection activeCell="U19" sqref="U19"/>
    </sheetView>
  </sheetViews>
  <sheetFormatPr defaultColWidth="12" defaultRowHeight="11.25"/>
  <cols>
    <col min="1" max="1" width="7" style="0" customWidth="1"/>
    <col min="3" max="3" width="40.83203125" style="0" customWidth="1"/>
    <col min="4" max="4" width="42.33203125" style="0" customWidth="1"/>
    <col min="5" max="5" width="18.83203125" style="0" customWidth="1"/>
    <col min="6" max="6" width="31.16015625" style="0" customWidth="1"/>
    <col min="7" max="7" width="15.33203125" style="0" customWidth="1"/>
    <col min="8" max="8" width="10.16015625" style="0" customWidth="1"/>
    <col min="9" max="9" width="9.66015625" style="0" customWidth="1"/>
    <col min="10" max="10" width="10" style="0" customWidth="1"/>
    <col min="11" max="11" width="10.33203125" style="0" customWidth="1"/>
    <col min="12" max="12" width="8.83203125" style="0" customWidth="1"/>
    <col min="13" max="13" width="9.33203125" style="0" customWidth="1"/>
    <col min="14" max="14" width="8.5" style="0" customWidth="1"/>
    <col min="15" max="15" width="8.16015625" style="0" customWidth="1"/>
    <col min="16" max="16" width="9.16015625" style="0" customWidth="1"/>
    <col min="17" max="17" width="8" style="0" customWidth="1"/>
    <col min="18" max="18" width="8.5" style="0" customWidth="1"/>
    <col min="19" max="19" width="8.83203125" style="0" customWidth="1"/>
  </cols>
  <sheetData>
    <row r="1" spans="1:3" ht="11.25">
      <c r="A1" s="122" t="s">
        <v>318</v>
      </c>
      <c r="B1" s="122"/>
      <c r="C1" s="122"/>
    </row>
    <row r="2" ht="12" thickBot="1"/>
    <row r="3" spans="2:19" ht="29.25" customHeight="1" thickBot="1">
      <c r="B3" s="242" t="s">
        <v>440</v>
      </c>
      <c r="C3" s="243"/>
      <c r="D3" s="98" t="s">
        <v>260</v>
      </c>
      <c r="E3" s="44" t="s">
        <v>272</v>
      </c>
      <c r="F3" s="44" t="s">
        <v>279</v>
      </c>
      <c r="G3" s="44">
        <v>1991</v>
      </c>
      <c r="H3" s="44">
        <f>G3+1</f>
        <v>1992</v>
      </c>
      <c r="I3" s="44">
        <f aca="true" t="shared" si="0" ref="I3:S3">H3+1</f>
        <v>1993</v>
      </c>
      <c r="J3" s="44">
        <f t="shared" si="0"/>
        <v>1994</v>
      </c>
      <c r="K3" s="44">
        <f t="shared" si="0"/>
        <v>1995</v>
      </c>
      <c r="L3" s="44">
        <f t="shared" si="0"/>
        <v>1996</v>
      </c>
      <c r="M3" s="44">
        <f t="shared" si="0"/>
        <v>1997</v>
      </c>
      <c r="N3" s="44">
        <f t="shared" si="0"/>
        <v>1998</v>
      </c>
      <c r="O3" s="44">
        <f t="shared" si="0"/>
        <v>1999</v>
      </c>
      <c r="P3" s="44">
        <f t="shared" si="0"/>
        <v>2000</v>
      </c>
      <c r="Q3" s="44">
        <f t="shared" si="0"/>
        <v>2001</v>
      </c>
      <c r="R3" s="44">
        <f t="shared" si="0"/>
        <v>2002</v>
      </c>
      <c r="S3" s="44">
        <f t="shared" si="0"/>
        <v>2003</v>
      </c>
    </row>
    <row r="4" spans="2:19" ht="34.5" customHeight="1" thickBot="1">
      <c r="B4" s="246" t="s">
        <v>274</v>
      </c>
      <c r="C4" s="17" t="s">
        <v>392</v>
      </c>
      <c r="D4" s="16" t="s">
        <v>261</v>
      </c>
      <c r="E4" s="125" t="s">
        <v>263</v>
      </c>
      <c r="F4" s="125" t="s">
        <v>275</v>
      </c>
      <c r="G4" s="3">
        <f>'3_Recap Taux pour EMTR'!E5</f>
        <v>0.3062462909375444</v>
      </c>
      <c r="H4" s="3">
        <f>'3_Recap Taux pour EMTR'!F5</f>
        <v>0.3110941926014898</v>
      </c>
      <c r="I4" s="3">
        <f>'3_Recap Taux pour EMTR'!G5</f>
        <v>0.3111250074650008</v>
      </c>
      <c r="J4" s="3">
        <f>'3_Recap Taux pour EMTR'!H5</f>
        <v>0.32005031995932515</v>
      </c>
      <c r="K4" s="3">
        <f>'3_Recap Taux pour EMTR'!I5</f>
        <v>0.3156189439332382</v>
      </c>
      <c r="L4" s="3">
        <f>'3_Recap Taux pour EMTR'!J5</f>
        <v>0.3156189439332382</v>
      </c>
      <c r="M4" s="3">
        <f>'3_Recap Taux pour EMTR'!K5</f>
        <v>0.3156189439332382</v>
      </c>
      <c r="N4" s="3">
        <f>'3_Recap Taux pour EMTR'!L5</f>
        <v>0.3028670851358416</v>
      </c>
      <c r="O4" s="3">
        <f>'3_Recap Taux pour EMTR'!M5</f>
        <v>0.3028447454813655</v>
      </c>
      <c r="P4" s="3">
        <f>'3_Recap Taux pour EMTR'!N5</f>
        <v>0.3028447454813655</v>
      </c>
      <c r="Q4" s="3">
        <f>'3_Recap Taux pour EMTR'!O5</f>
        <v>0.27158924742398727</v>
      </c>
      <c r="R4" s="3">
        <f>'3_Recap Taux pour EMTR'!P5</f>
        <v>0.27158924742398727</v>
      </c>
      <c r="S4" s="3">
        <f>'3_Recap Taux pour EMTR'!Q5</f>
        <v>0.2715980412297803</v>
      </c>
    </row>
    <row r="5" spans="2:19" ht="34.5" customHeight="1" thickBot="1">
      <c r="B5" s="247"/>
      <c r="C5" s="17" t="s">
        <v>393</v>
      </c>
      <c r="D5" s="17" t="s">
        <v>321</v>
      </c>
      <c r="E5" s="125" t="s">
        <v>270</v>
      </c>
      <c r="F5" s="125" t="s">
        <v>276</v>
      </c>
      <c r="G5" s="3">
        <f>G4/(1+G4)</f>
        <v>0.23444758699964566</v>
      </c>
      <c r="H5" s="3">
        <f aca="true" t="shared" si="1" ref="H5:S5">H4/(1+H4)</f>
        <v>0.2372782934719684</v>
      </c>
      <c r="I5" s="3">
        <f t="shared" si="1"/>
        <v>0.2372962194249857</v>
      </c>
      <c r="J5" s="3">
        <f t="shared" si="1"/>
        <v>0.24245312100616503</v>
      </c>
      <c r="K5" s="3">
        <f t="shared" si="1"/>
        <v>0.2399014892485878</v>
      </c>
      <c r="L5" s="3">
        <f t="shared" si="1"/>
        <v>0.2399014892485878</v>
      </c>
      <c r="M5" s="3">
        <f t="shared" si="1"/>
        <v>0.2399014892485878</v>
      </c>
      <c r="N5" s="3">
        <f t="shared" si="1"/>
        <v>0.23246199753696564</v>
      </c>
      <c r="O5" s="3">
        <f t="shared" si="1"/>
        <v>0.23244883669502206</v>
      </c>
      <c r="P5" s="3">
        <f t="shared" si="1"/>
        <v>0.23244883669502206</v>
      </c>
      <c r="Q5" s="3">
        <f t="shared" si="1"/>
        <v>0.21358252908647868</v>
      </c>
      <c r="R5" s="3">
        <f t="shared" si="1"/>
        <v>0.21358252908647868</v>
      </c>
      <c r="S5" s="3">
        <f t="shared" si="1"/>
        <v>0.213587967599505</v>
      </c>
    </row>
    <row r="6" spans="2:19" ht="8.25" customHeight="1" thickBot="1">
      <c r="B6" s="126"/>
      <c r="C6" s="126"/>
      <c r="D6" s="126"/>
      <c r="E6" s="93"/>
      <c r="F6" s="93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2:19" ht="19.5" customHeight="1" thickBot="1">
      <c r="B7" s="246" t="s">
        <v>65</v>
      </c>
      <c r="C7" s="244" t="s">
        <v>394</v>
      </c>
      <c r="D7" s="17" t="s">
        <v>261</v>
      </c>
      <c r="E7" s="125" t="s">
        <v>268</v>
      </c>
      <c r="F7" s="125" t="s">
        <v>275</v>
      </c>
      <c r="G7" s="3">
        <f>G4</f>
        <v>0.3062462909375444</v>
      </c>
      <c r="H7" s="3">
        <f aca="true" t="shared" si="2" ref="H7:S7">H4</f>
        <v>0.3110941926014898</v>
      </c>
      <c r="I7" s="3">
        <f t="shared" si="2"/>
        <v>0.3111250074650008</v>
      </c>
      <c r="J7" s="3">
        <f t="shared" si="2"/>
        <v>0.32005031995932515</v>
      </c>
      <c r="K7" s="3">
        <f t="shared" si="2"/>
        <v>0.3156189439332382</v>
      </c>
      <c r="L7" s="3">
        <f t="shared" si="2"/>
        <v>0.3156189439332382</v>
      </c>
      <c r="M7" s="3">
        <f t="shared" si="2"/>
        <v>0.3156189439332382</v>
      </c>
      <c r="N7" s="3">
        <f t="shared" si="2"/>
        <v>0.3028670851358416</v>
      </c>
      <c r="O7" s="3">
        <f t="shared" si="2"/>
        <v>0.3028447454813655</v>
      </c>
      <c r="P7" s="3">
        <f t="shared" si="2"/>
        <v>0.3028447454813655</v>
      </c>
      <c r="Q7" s="3">
        <f t="shared" si="2"/>
        <v>0.27158924742398727</v>
      </c>
      <c r="R7" s="3">
        <f t="shared" si="2"/>
        <v>0.27158924742398727</v>
      </c>
      <c r="S7" s="3">
        <f t="shared" si="2"/>
        <v>0.2715980412297803</v>
      </c>
    </row>
    <row r="8" spans="2:19" ht="19.5" customHeight="1" thickBot="1">
      <c r="B8" s="248"/>
      <c r="C8" s="245"/>
      <c r="D8" s="17" t="s">
        <v>262</v>
      </c>
      <c r="E8" s="125" t="s">
        <v>269</v>
      </c>
      <c r="F8" s="125" t="s">
        <v>277</v>
      </c>
      <c r="G8" s="3">
        <f>'3_Recap Taux pour EMTR'!E6</f>
        <v>0.010223221360000001</v>
      </c>
      <c r="H8" s="3">
        <f>'3_Recap Taux pour EMTR'!F6</f>
        <v>0.01042624357</v>
      </c>
      <c r="I8" s="3">
        <f>'3_Recap Taux pour EMTR'!G6</f>
        <v>0.01042753456</v>
      </c>
      <c r="J8" s="3">
        <f>'3_Recap Taux pour EMTR'!H6</f>
        <v>0.010801734559999998</v>
      </c>
      <c r="K8" s="3">
        <f>'3_Recap Taux pour EMTR'!I6</f>
        <v>0.010565832</v>
      </c>
      <c r="L8" s="3">
        <f>'3_Recap Taux pour EMTR'!J6</f>
        <v>0.010565832</v>
      </c>
      <c r="M8" s="3">
        <f>'3_Recap Taux pour EMTR'!K6</f>
        <v>0.010565832</v>
      </c>
      <c r="N8" s="3">
        <f>'3_Recap Taux pour EMTR'!L6</f>
        <v>0.008965832</v>
      </c>
      <c r="O8" s="3">
        <f>'3_Recap Taux pour EMTR'!M6</f>
        <v>0.008964896499999998</v>
      </c>
      <c r="P8" s="3">
        <f>'3_Recap Taux pour EMTR'!N6</f>
        <v>0.008964896499999998</v>
      </c>
      <c r="Q8" s="3">
        <f>'3_Recap Taux pour EMTR'!O6</f>
        <v>0.004791499999999999</v>
      </c>
      <c r="R8" s="3">
        <f>'3_Recap Taux pour EMTR'!P6</f>
        <v>0.004791499999999999</v>
      </c>
      <c r="S8" s="3">
        <f>'3_Recap Taux pour EMTR'!Q6</f>
        <v>0.0028748999999999992</v>
      </c>
    </row>
    <row r="9" spans="2:19" ht="3.75" customHeight="1" thickBot="1">
      <c r="B9" s="248"/>
      <c r="C9" s="127"/>
      <c r="D9" s="17"/>
      <c r="E9" s="125"/>
      <c r="F9" s="12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18.75" customHeight="1" thickBot="1">
      <c r="B10" s="248"/>
      <c r="C10" s="244" t="s">
        <v>395</v>
      </c>
      <c r="D10" s="17" t="s">
        <v>267</v>
      </c>
      <c r="E10" s="125" t="s">
        <v>271</v>
      </c>
      <c r="F10" s="125" t="s">
        <v>278</v>
      </c>
      <c r="G10" s="3">
        <f>G7*(1-G8)/(1+G7)</f>
        <v>0.2320507774204304</v>
      </c>
      <c r="H10" s="3">
        <f aca="true" t="shared" si="3" ref="H10:S10">H7*(1-H8)/(1+H7)</f>
        <v>0.23480437219035571</v>
      </c>
      <c r="I10" s="3">
        <f t="shared" si="3"/>
        <v>0.2348218048959743</v>
      </c>
      <c r="J10" s="3">
        <f t="shared" si="3"/>
        <v>0.2398342067498129</v>
      </c>
      <c r="K10" s="3">
        <f t="shared" si="3"/>
        <v>0.23736673041663744</v>
      </c>
      <c r="L10" s="3">
        <f t="shared" si="3"/>
        <v>0.23736673041663744</v>
      </c>
      <c r="M10" s="3">
        <f t="shared" si="3"/>
        <v>0.23736673041663744</v>
      </c>
      <c r="N10" s="3">
        <f t="shared" si="3"/>
        <v>0.2303777823206648</v>
      </c>
      <c r="O10" s="3">
        <f t="shared" si="3"/>
        <v>0.23036495693250575</v>
      </c>
      <c r="P10" s="3">
        <f t="shared" si="3"/>
        <v>0.23036495693250575</v>
      </c>
      <c r="Q10" s="3">
        <f t="shared" si="3"/>
        <v>0.21255914839836082</v>
      </c>
      <c r="R10" s="3">
        <f t="shared" si="3"/>
        <v>0.21255914839836082</v>
      </c>
      <c r="S10" s="3">
        <f t="shared" si="3"/>
        <v>0.21297392355145314</v>
      </c>
    </row>
    <row r="11" spans="2:19" ht="20.25" customHeight="1" thickBot="1">
      <c r="B11" s="247"/>
      <c r="C11" s="245"/>
      <c r="D11" s="17" t="s">
        <v>262</v>
      </c>
      <c r="E11" s="125" t="s">
        <v>269</v>
      </c>
      <c r="F11" s="125" t="s">
        <v>269</v>
      </c>
      <c r="G11" s="3">
        <f>G8</f>
        <v>0.010223221360000001</v>
      </c>
      <c r="H11" s="3">
        <f aca="true" t="shared" si="4" ref="H11:S11">H8</f>
        <v>0.01042624357</v>
      </c>
      <c r="I11" s="3">
        <f t="shared" si="4"/>
        <v>0.01042753456</v>
      </c>
      <c r="J11" s="3">
        <f t="shared" si="4"/>
        <v>0.010801734559999998</v>
      </c>
      <c r="K11" s="3">
        <f t="shared" si="4"/>
        <v>0.010565832</v>
      </c>
      <c r="L11" s="3">
        <f t="shared" si="4"/>
        <v>0.010565832</v>
      </c>
      <c r="M11" s="3">
        <f t="shared" si="4"/>
        <v>0.010565832</v>
      </c>
      <c r="N11" s="3">
        <f t="shared" si="4"/>
        <v>0.008965832</v>
      </c>
      <c r="O11" s="3">
        <f t="shared" si="4"/>
        <v>0.008964896499999998</v>
      </c>
      <c r="P11" s="3">
        <f t="shared" si="4"/>
        <v>0.008964896499999998</v>
      </c>
      <c r="Q11" s="3">
        <f t="shared" si="4"/>
        <v>0.004791499999999999</v>
      </c>
      <c r="R11" s="3">
        <f t="shared" si="4"/>
        <v>0.004791499999999999</v>
      </c>
      <c r="S11" s="3">
        <f t="shared" si="4"/>
        <v>0.0028748999999999992</v>
      </c>
    </row>
    <row r="12" spans="2:19" ht="6.75" customHeight="1" thickBot="1">
      <c r="B12" s="187"/>
      <c r="C12" s="185"/>
      <c r="D12" s="61"/>
      <c r="E12" s="186"/>
      <c r="F12" s="186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8" thickBot="1">
      <c r="B13" s="236" t="s">
        <v>396</v>
      </c>
      <c r="C13" s="237"/>
      <c r="D13" s="161" t="s">
        <v>397</v>
      </c>
      <c r="E13" s="162" t="s">
        <v>398</v>
      </c>
      <c r="F13" s="162" t="s">
        <v>398</v>
      </c>
      <c r="G13" s="79">
        <f>G10+G11</f>
        <v>0.2422739987804304</v>
      </c>
      <c r="H13" s="79">
        <f aca="true" t="shared" si="5" ref="H13:S13">H10+H11</f>
        <v>0.2452306157603557</v>
      </c>
      <c r="I13" s="79">
        <f t="shared" si="5"/>
        <v>0.2452493394559743</v>
      </c>
      <c r="J13" s="79">
        <f t="shared" si="5"/>
        <v>0.2506359413098129</v>
      </c>
      <c r="K13" s="79">
        <f t="shared" si="5"/>
        <v>0.24793256241663744</v>
      </c>
      <c r="L13" s="79">
        <f t="shared" si="5"/>
        <v>0.24793256241663744</v>
      </c>
      <c r="M13" s="79">
        <f t="shared" si="5"/>
        <v>0.24793256241663744</v>
      </c>
      <c r="N13" s="79">
        <f t="shared" si="5"/>
        <v>0.2393436143206648</v>
      </c>
      <c r="O13" s="79">
        <f t="shared" si="5"/>
        <v>0.23932985343250573</v>
      </c>
      <c r="P13" s="79">
        <f t="shared" si="5"/>
        <v>0.23932985343250573</v>
      </c>
      <c r="Q13" s="79">
        <f t="shared" si="5"/>
        <v>0.21735064839836082</v>
      </c>
      <c r="R13" s="79">
        <f t="shared" si="5"/>
        <v>0.21735064839836082</v>
      </c>
      <c r="S13" s="79">
        <f t="shared" si="5"/>
        <v>0.21584882355145313</v>
      </c>
    </row>
    <row r="14" spans="2:19" ht="26.25" thickBot="1">
      <c r="B14" s="238"/>
      <c r="C14" s="239"/>
      <c r="D14" s="161" t="s">
        <v>399</v>
      </c>
      <c r="E14" s="163" t="s">
        <v>400</v>
      </c>
      <c r="F14" s="163" t="s">
        <v>411</v>
      </c>
      <c r="G14" s="79">
        <f>'4_Dernière synthèse'!E25</f>
        <v>0.2422739987804304</v>
      </c>
      <c r="H14" s="79">
        <f>'4_Dernière synthèse'!F25</f>
        <v>0.2452306157603557</v>
      </c>
      <c r="I14" s="79">
        <f>'4_Dernière synthèse'!G25</f>
        <v>0.2452493394559743</v>
      </c>
      <c r="J14" s="79">
        <f>'4_Dernière synthèse'!H25</f>
        <v>0.2506359413098129</v>
      </c>
      <c r="K14" s="79">
        <f>'4_Dernière synthèse'!I25</f>
        <v>0.24793256241663744</v>
      </c>
      <c r="L14" s="79">
        <f>'4_Dernière synthèse'!J25</f>
        <v>0.24793256241663744</v>
      </c>
      <c r="M14" s="79">
        <f>'4_Dernière synthèse'!K25</f>
        <v>0.24793256241663744</v>
      </c>
      <c r="N14" s="79">
        <f>'4_Dernière synthèse'!L25</f>
        <v>0.2393436143206648</v>
      </c>
      <c r="O14" s="79">
        <f>'4_Dernière synthèse'!M25</f>
        <v>0.23932985343250573</v>
      </c>
      <c r="P14" s="79">
        <f>'4_Dernière synthèse'!N25</f>
        <v>0.23932985343250573</v>
      </c>
      <c r="Q14" s="79">
        <f>'4_Dernière synthèse'!O25</f>
        <v>0.21735064839836082</v>
      </c>
      <c r="R14" s="79">
        <f>'4_Dernière synthèse'!P25</f>
        <v>0.21735064839836082</v>
      </c>
      <c r="S14" s="79">
        <f>'4_Dernière synthèse'!Q25</f>
        <v>0.21584882355145313</v>
      </c>
    </row>
    <row r="15" spans="2:19" ht="18" thickBot="1">
      <c r="B15" s="238"/>
      <c r="C15" s="239"/>
      <c r="D15" s="164" t="s">
        <v>401</v>
      </c>
      <c r="E15" s="165" t="s">
        <v>113</v>
      </c>
      <c r="F15" s="163" t="s">
        <v>403</v>
      </c>
      <c r="G15" s="79">
        <f>'5_Synthèse calcul benefice net'!E26</f>
        <v>0.242273</v>
      </c>
      <c r="H15" s="79">
        <f>'5_Synthèse calcul benefice net'!F26</f>
        <v>0.245239</v>
      </c>
      <c r="I15" s="79">
        <f>'5_Synthèse calcul benefice net'!G26</f>
        <v>0.245264</v>
      </c>
      <c r="J15" s="79">
        <f>'5_Synthèse calcul benefice net'!H26</f>
        <v>0.250647</v>
      </c>
      <c r="K15" s="79">
        <f>'5_Synthèse calcul benefice net'!I26</f>
        <v>0.247943</v>
      </c>
      <c r="L15" s="79">
        <f>'5_Synthèse calcul benefice net'!J26</f>
        <v>0.247943</v>
      </c>
      <c r="M15" s="79">
        <f>'5_Synthèse calcul benefice net'!K26</f>
        <v>0.247925</v>
      </c>
      <c r="N15" s="79">
        <f>'5_Synthèse calcul benefice net'!L26</f>
        <v>0.239356</v>
      </c>
      <c r="O15" s="79">
        <f>'5_Synthèse calcul benefice net'!M26</f>
        <v>0.239338</v>
      </c>
      <c r="P15" s="79">
        <f>'5_Synthèse calcul benefice net'!N26</f>
        <v>0.239338</v>
      </c>
      <c r="Q15" s="79">
        <f>'5_Synthèse calcul benefice net'!O26</f>
        <v>0.217337</v>
      </c>
      <c r="R15" s="79">
        <f>'5_Synthèse calcul benefice net'!P26</f>
        <v>0.217337</v>
      </c>
      <c r="S15" s="79">
        <f>'5_Synthèse calcul benefice net'!Q26</f>
        <v>0.215834</v>
      </c>
    </row>
    <row r="16" spans="2:19" ht="18" thickBot="1">
      <c r="B16" s="240"/>
      <c r="C16" s="241"/>
      <c r="D16" s="161" t="s">
        <v>402</v>
      </c>
      <c r="E16" s="166" t="s">
        <v>80</v>
      </c>
      <c r="F16" s="167" t="s">
        <v>428</v>
      </c>
      <c r="G16" s="148">
        <f>G13-G14</f>
        <v>0</v>
      </c>
      <c r="H16" s="148">
        <f aca="true" t="shared" si="6" ref="H16:S16">H13-H14</f>
        <v>0</v>
      </c>
      <c r="I16" s="148">
        <f t="shared" si="6"/>
        <v>0</v>
      </c>
      <c r="J16" s="148">
        <f t="shared" si="6"/>
        <v>0</v>
      </c>
      <c r="K16" s="148">
        <f t="shared" si="6"/>
        <v>0</v>
      </c>
      <c r="L16" s="148">
        <f t="shared" si="6"/>
        <v>0</v>
      </c>
      <c r="M16" s="148">
        <f t="shared" si="6"/>
        <v>0</v>
      </c>
      <c r="N16" s="148">
        <f t="shared" si="6"/>
        <v>0</v>
      </c>
      <c r="O16" s="148">
        <f t="shared" si="6"/>
        <v>0</v>
      </c>
      <c r="P16" s="148">
        <f t="shared" si="6"/>
        <v>0</v>
      </c>
      <c r="Q16" s="148">
        <f t="shared" si="6"/>
        <v>0</v>
      </c>
      <c r="R16" s="148">
        <f t="shared" si="6"/>
        <v>0</v>
      </c>
      <c r="S16" s="148">
        <f t="shared" si="6"/>
        <v>0</v>
      </c>
    </row>
    <row r="17" spans="8:17" ht="11.25"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8:23" ht="11.25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ht="11.25">
      <c r="H19" s="7"/>
    </row>
    <row r="20" spans="8:13" ht="11.25">
      <c r="H20" s="7"/>
      <c r="I20" s="7"/>
      <c r="J20" s="7"/>
      <c r="K20" s="7"/>
      <c r="L20" s="7"/>
      <c r="M20" s="7"/>
    </row>
    <row r="21" spans="8:16" ht="11.25">
      <c r="H21" s="7"/>
      <c r="I21" s="7"/>
      <c r="J21" s="7"/>
      <c r="K21" s="7"/>
      <c r="L21" s="7"/>
      <c r="M21" s="7"/>
      <c r="N21" s="7"/>
      <c r="O21" s="7"/>
      <c r="P21" s="7"/>
    </row>
    <row r="22" ht="11.25">
      <c r="H22" s="7"/>
    </row>
  </sheetData>
  <mergeCells count="6">
    <mergeCell ref="B13:C16"/>
    <mergeCell ref="B3:C3"/>
    <mergeCell ref="C7:C8"/>
    <mergeCell ref="C10:C11"/>
    <mergeCell ref="B4:B5"/>
    <mergeCell ref="B7:B11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Q16"/>
  <sheetViews>
    <sheetView workbookViewId="0" topLeftCell="K1">
      <selection activeCell="L5" sqref="L5"/>
    </sheetView>
  </sheetViews>
  <sheetFormatPr defaultColWidth="12" defaultRowHeight="11.25"/>
  <cols>
    <col min="1" max="1" width="7" style="0" customWidth="1"/>
    <col min="2" max="2" width="14.66015625" style="0" customWidth="1"/>
    <col min="3" max="3" width="58.66015625" style="0" customWidth="1"/>
    <col min="4" max="4" width="31.16015625" style="0" customWidth="1"/>
    <col min="5" max="5" width="11.66015625" style="0" customWidth="1"/>
    <col min="6" max="6" width="11.83203125" style="0" customWidth="1"/>
    <col min="7" max="7" width="10" style="0" customWidth="1"/>
    <col min="9" max="9" width="10.5" style="0" customWidth="1"/>
    <col min="10" max="10" width="9.83203125" style="0" customWidth="1"/>
    <col min="11" max="11" width="10.16015625" style="0" customWidth="1"/>
    <col min="12" max="12" width="14.33203125" style="0" customWidth="1"/>
    <col min="13" max="13" width="12.33203125" style="0" customWidth="1"/>
    <col min="14" max="14" width="9.83203125" style="0" customWidth="1"/>
    <col min="15" max="15" width="11" style="0" customWidth="1"/>
    <col min="16" max="16" width="11.5" style="0" customWidth="1"/>
    <col min="17" max="17" width="10.5" style="0" customWidth="1"/>
  </cols>
  <sheetData>
    <row r="1" ht="11.25">
      <c r="A1" s="122" t="s">
        <v>318</v>
      </c>
    </row>
    <row r="3" ht="12" thickBot="1"/>
    <row r="4" spans="2:17" ht="24.75" customHeight="1" thickBot="1">
      <c r="B4" s="249" t="s">
        <v>441</v>
      </c>
      <c r="C4" s="250"/>
      <c r="D4" s="18" t="s">
        <v>62</v>
      </c>
      <c r="E4" s="119">
        <v>1991</v>
      </c>
      <c r="F4" s="120">
        <f aca="true" t="shared" si="0" ref="F4:Q4">E4+1</f>
        <v>1992</v>
      </c>
      <c r="G4" s="120">
        <f t="shared" si="0"/>
        <v>1993</v>
      </c>
      <c r="H4" s="120">
        <f t="shared" si="0"/>
        <v>1994</v>
      </c>
      <c r="I4" s="120">
        <f t="shared" si="0"/>
        <v>1995</v>
      </c>
      <c r="J4" s="120">
        <f t="shared" si="0"/>
        <v>1996</v>
      </c>
      <c r="K4" s="120">
        <f t="shared" si="0"/>
        <v>1997</v>
      </c>
      <c r="L4" s="120">
        <f t="shared" si="0"/>
        <v>1998</v>
      </c>
      <c r="M4" s="120">
        <f t="shared" si="0"/>
        <v>1999</v>
      </c>
      <c r="N4" s="120">
        <f t="shared" si="0"/>
        <v>2000</v>
      </c>
      <c r="O4" s="120">
        <f t="shared" si="0"/>
        <v>2001</v>
      </c>
      <c r="P4" s="120">
        <f t="shared" si="0"/>
        <v>2002</v>
      </c>
      <c r="Q4" s="120">
        <f t="shared" si="0"/>
        <v>2003</v>
      </c>
    </row>
    <row r="5" spans="2:17" ht="32.25" customHeight="1" thickBot="1">
      <c r="B5" s="248" t="s">
        <v>63</v>
      </c>
      <c r="C5" s="16" t="s">
        <v>213</v>
      </c>
      <c r="D5" s="78" t="s">
        <v>280</v>
      </c>
      <c r="E5" s="85">
        <f>'4_Dernière synthèse'!E14</f>
        <v>0.3062462909375444</v>
      </c>
      <c r="F5" s="85">
        <f>'4_Dernière synthèse'!F14</f>
        <v>0.3110941926014898</v>
      </c>
      <c r="G5" s="85">
        <f>'4_Dernière synthèse'!G14</f>
        <v>0.3111250074650008</v>
      </c>
      <c r="H5" s="85">
        <f>'4_Dernière synthèse'!H14</f>
        <v>0.32005031995932515</v>
      </c>
      <c r="I5" s="85">
        <f>'4_Dernière synthèse'!I14</f>
        <v>0.3156189439332382</v>
      </c>
      <c r="J5" s="85">
        <f>'4_Dernière synthèse'!J14</f>
        <v>0.3156189439332382</v>
      </c>
      <c r="K5" s="85">
        <f>'4_Dernière synthèse'!K14</f>
        <v>0.3156189439332382</v>
      </c>
      <c r="L5" s="85">
        <f>'4_Dernière synthèse'!L14</f>
        <v>0.3028670851358416</v>
      </c>
      <c r="M5" s="85">
        <f>'4_Dernière synthèse'!M14</f>
        <v>0.3028447454813655</v>
      </c>
      <c r="N5" s="85">
        <f>'4_Dernière synthèse'!N14</f>
        <v>0.3028447454813655</v>
      </c>
      <c r="O5" s="85">
        <f>'4_Dernière synthèse'!O14</f>
        <v>0.27158924742398727</v>
      </c>
      <c r="P5" s="85">
        <f>'4_Dernière synthèse'!P14</f>
        <v>0.27158924742398727</v>
      </c>
      <c r="Q5" s="158">
        <f>'4_Dernière synthèse'!Q14</f>
        <v>0.2715980412297803</v>
      </c>
    </row>
    <row r="6" spans="2:17" ht="51" customHeight="1" thickBot="1">
      <c r="B6" s="248"/>
      <c r="C6" s="16" t="s">
        <v>282</v>
      </c>
      <c r="D6" s="78" t="s">
        <v>283</v>
      </c>
      <c r="E6" s="86">
        <f>'5_Synthèse calcul benefice net'!E21</f>
        <v>0.010223221360000001</v>
      </c>
      <c r="F6" s="86">
        <f>'5_Synthèse calcul benefice net'!F21</f>
        <v>0.01042624357</v>
      </c>
      <c r="G6" s="86">
        <f>'5_Synthèse calcul benefice net'!G21</f>
        <v>0.01042753456</v>
      </c>
      <c r="H6" s="86">
        <f>'5_Synthèse calcul benefice net'!H21</f>
        <v>0.010801734559999998</v>
      </c>
      <c r="I6" s="86">
        <f>'5_Synthèse calcul benefice net'!I21</f>
        <v>0.010565832</v>
      </c>
      <c r="J6" s="86">
        <f>'5_Synthèse calcul benefice net'!J21</f>
        <v>0.010565832</v>
      </c>
      <c r="K6" s="86">
        <f>'5_Synthèse calcul benefice net'!K21</f>
        <v>0.010565832</v>
      </c>
      <c r="L6" s="86">
        <f>'5_Synthèse calcul benefice net'!L21</f>
        <v>0.008965832</v>
      </c>
      <c r="M6" s="86">
        <f>'5_Synthèse calcul benefice net'!M21</f>
        <v>0.008964896499999998</v>
      </c>
      <c r="N6" s="86">
        <f>'5_Synthèse calcul benefice net'!N21</f>
        <v>0.008964896499999998</v>
      </c>
      <c r="O6" s="86">
        <f>'5_Synthèse calcul benefice net'!O21</f>
        <v>0.004791499999999999</v>
      </c>
      <c r="P6" s="86">
        <f>'5_Synthèse calcul benefice net'!P21</f>
        <v>0.004791499999999999</v>
      </c>
      <c r="Q6" s="157">
        <f>'5_Synthèse calcul benefice net'!Q21</f>
        <v>0.0028748999999999992</v>
      </c>
    </row>
    <row r="7" spans="2:17" ht="6.75" customHeight="1" thickBot="1">
      <c r="B7" s="87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31.5" customHeight="1" thickBot="1">
      <c r="B8" s="246" t="s">
        <v>64</v>
      </c>
      <c r="C8" s="17" t="s">
        <v>214</v>
      </c>
      <c r="D8" s="128" t="s">
        <v>281</v>
      </c>
      <c r="E8" s="88">
        <f>E5*(1-E6)/(1+E5)</f>
        <v>0.2320507774204304</v>
      </c>
      <c r="F8" s="88">
        <f aca="true" t="shared" si="1" ref="F8:K8">F5*(1-F6)/(1+F5)</f>
        <v>0.23480437219035571</v>
      </c>
      <c r="G8" s="88">
        <f t="shared" si="1"/>
        <v>0.2348218048959743</v>
      </c>
      <c r="H8" s="88">
        <f t="shared" si="1"/>
        <v>0.2398342067498129</v>
      </c>
      <c r="I8" s="88">
        <f t="shared" si="1"/>
        <v>0.23736673041663744</v>
      </c>
      <c r="J8" s="88">
        <f t="shared" si="1"/>
        <v>0.23736673041663744</v>
      </c>
      <c r="K8" s="88">
        <f t="shared" si="1"/>
        <v>0.23736673041663744</v>
      </c>
      <c r="L8" s="88">
        <f aca="true" t="shared" si="2" ref="L8:Q8">L5*(1-L6)/(1+L5)</f>
        <v>0.2303777823206648</v>
      </c>
      <c r="M8" s="88">
        <f t="shared" si="2"/>
        <v>0.23036495693250575</v>
      </c>
      <c r="N8" s="88">
        <f t="shared" si="2"/>
        <v>0.23036495693250575</v>
      </c>
      <c r="O8" s="88">
        <f t="shared" si="2"/>
        <v>0.21255914839836082</v>
      </c>
      <c r="P8" s="88">
        <f t="shared" si="2"/>
        <v>0.21255914839836082</v>
      </c>
      <c r="Q8" s="89">
        <f t="shared" si="2"/>
        <v>0.21297392355145314</v>
      </c>
    </row>
    <row r="9" spans="2:17" ht="39" customHeight="1" thickBot="1">
      <c r="B9" s="247"/>
      <c r="C9" s="17" t="s">
        <v>144</v>
      </c>
      <c r="D9" s="128" t="s">
        <v>284</v>
      </c>
      <c r="E9" s="89">
        <f>E6</f>
        <v>0.010223221360000001</v>
      </c>
      <c r="F9" s="89">
        <f aca="true" t="shared" si="3" ref="F9:K9">F6</f>
        <v>0.01042624357</v>
      </c>
      <c r="G9" s="89">
        <f t="shared" si="3"/>
        <v>0.01042753456</v>
      </c>
      <c r="H9" s="89">
        <f t="shared" si="3"/>
        <v>0.010801734559999998</v>
      </c>
      <c r="I9" s="89">
        <f t="shared" si="3"/>
        <v>0.010565832</v>
      </c>
      <c r="J9" s="89">
        <f t="shared" si="3"/>
        <v>0.010565832</v>
      </c>
      <c r="K9" s="89">
        <f t="shared" si="3"/>
        <v>0.010565832</v>
      </c>
      <c r="L9" s="89">
        <f aca="true" t="shared" si="4" ref="L9:Q9">L6</f>
        <v>0.008965832</v>
      </c>
      <c r="M9" s="89">
        <f t="shared" si="4"/>
        <v>0.008964896499999998</v>
      </c>
      <c r="N9" s="89">
        <f t="shared" si="4"/>
        <v>0.008964896499999998</v>
      </c>
      <c r="O9" s="89">
        <f t="shared" si="4"/>
        <v>0.004791499999999999</v>
      </c>
      <c r="P9" s="89">
        <f t="shared" si="4"/>
        <v>0.004791499999999999</v>
      </c>
      <c r="Q9" s="89">
        <f t="shared" si="4"/>
        <v>0.0028748999999999992</v>
      </c>
    </row>
    <row r="10" spans="2:17" ht="6.75" customHeight="1" thickBot="1">
      <c r="B10" s="168"/>
      <c r="C10" s="61"/>
      <c r="D10" s="183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2:17" ht="18" thickBot="1">
      <c r="B11" s="227" t="s">
        <v>396</v>
      </c>
      <c r="C11" s="161" t="s">
        <v>397</v>
      </c>
      <c r="D11" s="162" t="s">
        <v>398</v>
      </c>
      <c r="E11" s="79">
        <f>E8+E9</f>
        <v>0.2422739987804304</v>
      </c>
      <c r="F11" s="79">
        <f aca="true" t="shared" si="5" ref="F11:Q11">F8+F9</f>
        <v>0.2452306157603557</v>
      </c>
      <c r="G11" s="79">
        <f t="shared" si="5"/>
        <v>0.2452493394559743</v>
      </c>
      <c r="H11" s="79">
        <f t="shared" si="5"/>
        <v>0.2506359413098129</v>
      </c>
      <c r="I11" s="79">
        <f t="shared" si="5"/>
        <v>0.24793256241663744</v>
      </c>
      <c r="J11" s="79">
        <f t="shared" si="5"/>
        <v>0.24793256241663744</v>
      </c>
      <c r="K11" s="79">
        <f t="shared" si="5"/>
        <v>0.24793256241663744</v>
      </c>
      <c r="L11" s="79">
        <f t="shared" si="5"/>
        <v>0.2393436143206648</v>
      </c>
      <c r="M11" s="79">
        <f t="shared" si="5"/>
        <v>0.23932985343250573</v>
      </c>
      <c r="N11" s="79">
        <f t="shared" si="5"/>
        <v>0.23932985343250573</v>
      </c>
      <c r="O11" s="79">
        <f t="shared" si="5"/>
        <v>0.21735064839836082</v>
      </c>
      <c r="P11" s="79">
        <f t="shared" si="5"/>
        <v>0.21735064839836082</v>
      </c>
      <c r="Q11" s="79">
        <f t="shared" si="5"/>
        <v>0.21584882355145313</v>
      </c>
    </row>
    <row r="12" spans="2:17" ht="18" thickBot="1">
      <c r="B12" s="228"/>
      <c r="C12" s="161" t="s">
        <v>399</v>
      </c>
      <c r="D12" s="163" t="s">
        <v>412</v>
      </c>
      <c r="E12" s="13">
        <f>'4_Dernière synthèse'!E25</f>
        <v>0.2422739987804304</v>
      </c>
      <c r="F12" s="13">
        <f>'4_Dernière synthèse'!F25</f>
        <v>0.2452306157603557</v>
      </c>
      <c r="G12" s="13">
        <f>'4_Dernière synthèse'!G25</f>
        <v>0.2452493394559743</v>
      </c>
      <c r="H12" s="13">
        <f>'4_Dernière synthèse'!H25</f>
        <v>0.2506359413098129</v>
      </c>
      <c r="I12" s="13">
        <f>'4_Dernière synthèse'!I25</f>
        <v>0.24793256241663744</v>
      </c>
      <c r="J12" s="13">
        <f>'4_Dernière synthèse'!J25</f>
        <v>0.24793256241663744</v>
      </c>
      <c r="K12" s="13">
        <f>'4_Dernière synthèse'!K25</f>
        <v>0.24793256241663744</v>
      </c>
      <c r="L12" s="13">
        <f>'4_Dernière synthèse'!L25</f>
        <v>0.2393436143206648</v>
      </c>
      <c r="M12" s="13">
        <f>'4_Dernière synthèse'!M25</f>
        <v>0.23932985343250573</v>
      </c>
      <c r="N12" s="13">
        <f>'4_Dernière synthèse'!N25</f>
        <v>0.23932985343250573</v>
      </c>
      <c r="O12" s="13">
        <f>'4_Dernière synthèse'!O25</f>
        <v>0.21735064839836082</v>
      </c>
      <c r="P12" s="13">
        <f>'4_Dernière synthèse'!P25</f>
        <v>0.21735064839836082</v>
      </c>
      <c r="Q12" s="13">
        <f>'4_Dernière synthèse'!Q25</f>
        <v>0.21584882355145313</v>
      </c>
    </row>
    <row r="13" spans="2:17" ht="18" thickBot="1">
      <c r="B13" s="228"/>
      <c r="C13" s="161" t="s">
        <v>401</v>
      </c>
      <c r="D13" s="163" t="s">
        <v>403</v>
      </c>
      <c r="E13" s="13">
        <f>'5_Synthèse calcul benefice net'!E26</f>
        <v>0.242273</v>
      </c>
      <c r="F13" s="13">
        <f>'5_Synthèse calcul benefice net'!F26</f>
        <v>0.245239</v>
      </c>
      <c r="G13" s="13">
        <f>'5_Synthèse calcul benefice net'!G26</f>
        <v>0.245264</v>
      </c>
      <c r="H13" s="13">
        <f>'5_Synthèse calcul benefice net'!H26</f>
        <v>0.250647</v>
      </c>
      <c r="I13" s="13">
        <f>'5_Synthèse calcul benefice net'!I26</f>
        <v>0.247943</v>
      </c>
      <c r="J13" s="13">
        <f>'5_Synthèse calcul benefice net'!J26</f>
        <v>0.247943</v>
      </c>
      <c r="K13" s="13">
        <f>'5_Synthèse calcul benefice net'!K26</f>
        <v>0.247925</v>
      </c>
      <c r="L13" s="13">
        <f>'5_Synthèse calcul benefice net'!L26</f>
        <v>0.239356</v>
      </c>
      <c r="M13" s="13">
        <f>'5_Synthèse calcul benefice net'!M26</f>
        <v>0.239338</v>
      </c>
      <c r="N13" s="13">
        <f>'5_Synthèse calcul benefice net'!N26</f>
        <v>0.239338</v>
      </c>
      <c r="O13" s="13">
        <f>'5_Synthèse calcul benefice net'!O26</f>
        <v>0.217337</v>
      </c>
      <c r="P13" s="13">
        <f>'5_Synthèse calcul benefice net'!P26</f>
        <v>0.217337</v>
      </c>
      <c r="Q13" s="13">
        <f>'5_Synthèse calcul benefice net'!Q26</f>
        <v>0.215834</v>
      </c>
    </row>
    <row r="14" spans="2:17" ht="18" thickBot="1">
      <c r="B14" s="229"/>
      <c r="C14" s="161" t="s">
        <v>404</v>
      </c>
      <c r="D14" s="167" t="s">
        <v>428</v>
      </c>
      <c r="E14" s="148">
        <f>E11-E12</f>
        <v>0</v>
      </c>
      <c r="F14" s="148">
        <f aca="true" t="shared" si="6" ref="F14:Q14">F11-F12</f>
        <v>0</v>
      </c>
      <c r="G14" s="148">
        <f t="shared" si="6"/>
        <v>0</v>
      </c>
      <c r="H14" s="148">
        <f t="shared" si="6"/>
        <v>0</v>
      </c>
      <c r="I14" s="148">
        <f t="shared" si="6"/>
        <v>0</v>
      </c>
      <c r="J14" s="148">
        <f t="shared" si="6"/>
        <v>0</v>
      </c>
      <c r="K14" s="148">
        <f t="shared" si="6"/>
        <v>0</v>
      </c>
      <c r="L14" s="148">
        <f t="shared" si="6"/>
        <v>0</v>
      </c>
      <c r="M14" s="148">
        <f t="shared" si="6"/>
        <v>0</v>
      </c>
      <c r="N14" s="148">
        <f t="shared" si="6"/>
        <v>0</v>
      </c>
      <c r="O14" s="148">
        <f t="shared" si="6"/>
        <v>0</v>
      </c>
      <c r="P14" s="148">
        <f t="shared" si="6"/>
        <v>0</v>
      </c>
      <c r="Q14" s="148">
        <f t="shared" si="6"/>
        <v>0</v>
      </c>
    </row>
    <row r="16" spans="3:5" ht="11.25">
      <c r="C16" s="4"/>
      <c r="D16" s="4"/>
      <c r="E16" s="4"/>
    </row>
  </sheetData>
  <mergeCells count="4">
    <mergeCell ref="B4:C4"/>
    <mergeCell ref="B5:B6"/>
    <mergeCell ref="B8:B9"/>
    <mergeCell ref="B11:B14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J1">
      <selection activeCell="S9" sqref="S9"/>
    </sheetView>
  </sheetViews>
  <sheetFormatPr defaultColWidth="12" defaultRowHeight="11.25"/>
  <cols>
    <col min="1" max="1" width="6.83203125" style="0" customWidth="1"/>
    <col min="2" max="2" width="12.83203125" style="0" customWidth="1"/>
    <col min="3" max="3" width="53.16015625" style="0" customWidth="1"/>
    <col min="4" max="4" width="38.66015625" style="0" customWidth="1"/>
    <col min="5" max="5" width="15.16015625" style="0" customWidth="1"/>
    <col min="6" max="6" width="13" style="0" customWidth="1"/>
    <col min="7" max="7" width="16.5" style="0" customWidth="1"/>
    <col min="8" max="8" width="18.66015625" style="0" customWidth="1"/>
    <col min="9" max="9" width="16.33203125" style="0" customWidth="1"/>
    <col min="10" max="10" width="15.83203125" style="0" customWidth="1"/>
    <col min="11" max="11" width="16.83203125" style="0" customWidth="1"/>
    <col min="12" max="12" width="13.33203125" style="0" customWidth="1"/>
    <col min="13" max="13" width="17.16015625" style="0" customWidth="1"/>
    <col min="14" max="14" width="16.5" style="0" customWidth="1"/>
    <col min="15" max="15" width="13.33203125" style="0" customWidth="1"/>
  </cols>
  <sheetData>
    <row r="1" ht="11.25">
      <c r="A1" s="122" t="s">
        <v>318</v>
      </c>
    </row>
    <row r="2" ht="15.75">
      <c r="C2" s="52"/>
    </row>
    <row r="3" ht="12" thickBot="1"/>
    <row r="4" spans="2:17" ht="32.25" customHeight="1" thickBot="1">
      <c r="B4" s="242" t="s">
        <v>531</v>
      </c>
      <c r="C4" s="253"/>
      <c r="D4" s="243"/>
      <c r="E4" s="230">
        <v>1991</v>
      </c>
      <c r="F4" s="230">
        <v>1992</v>
      </c>
      <c r="G4" s="230">
        <v>1993</v>
      </c>
      <c r="H4" s="230">
        <v>1994</v>
      </c>
      <c r="I4" s="230">
        <v>1995</v>
      </c>
      <c r="J4" s="230">
        <v>1996</v>
      </c>
      <c r="K4" s="230">
        <v>1997</v>
      </c>
      <c r="L4" s="230">
        <v>1998</v>
      </c>
      <c r="M4" s="230">
        <v>1999</v>
      </c>
      <c r="N4" s="230">
        <v>2000</v>
      </c>
      <c r="O4" s="232">
        <v>2001</v>
      </c>
      <c r="P4" s="232">
        <v>2002</v>
      </c>
      <c r="Q4" s="232">
        <v>2003</v>
      </c>
    </row>
    <row r="5" spans="2:17" ht="18" customHeight="1" thickBot="1">
      <c r="B5" s="249" t="s">
        <v>61</v>
      </c>
      <c r="C5" s="250"/>
      <c r="D5" s="90" t="s">
        <v>204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25"/>
      <c r="P5" s="225"/>
      <c r="Q5" s="225"/>
    </row>
    <row r="6" spans="2:17" ht="18" customHeight="1" thickBot="1">
      <c r="B6" s="226" t="s">
        <v>215</v>
      </c>
      <c r="C6" s="48" t="s">
        <v>210</v>
      </c>
      <c r="D6" s="63" t="s">
        <v>90</v>
      </c>
      <c r="E6" s="54">
        <v>1000000</v>
      </c>
      <c r="F6" s="54">
        <v>1000000</v>
      </c>
      <c r="G6" s="54">
        <v>1000000</v>
      </c>
      <c r="H6" s="54">
        <v>1000000</v>
      </c>
      <c r="I6" s="54">
        <v>1000000</v>
      </c>
      <c r="J6" s="54">
        <v>1000000</v>
      </c>
      <c r="K6" s="54">
        <v>1000000</v>
      </c>
      <c r="L6" s="54">
        <v>1000000</v>
      </c>
      <c r="M6" s="54">
        <v>1000000</v>
      </c>
      <c r="N6" s="54">
        <v>1000000</v>
      </c>
      <c r="O6" s="54">
        <v>1000000</v>
      </c>
      <c r="P6" s="54">
        <v>1000000</v>
      </c>
      <c r="Q6" s="54">
        <v>1000000</v>
      </c>
    </row>
    <row r="7" spans="2:17" ht="18" customHeight="1" thickBot="1">
      <c r="B7" s="251"/>
      <c r="C7" s="48" t="s">
        <v>211</v>
      </c>
      <c r="D7" s="63" t="s">
        <v>91</v>
      </c>
      <c r="E7" s="54">
        <v>2000000</v>
      </c>
      <c r="F7" s="54">
        <v>2000000</v>
      </c>
      <c r="G7" s="54">
        <v>2000000</v>
      </c>
      <c r="H7" s="54">
        <v>2000000</v>
      </c>
      <c r="I7" s="54">
        <v>2000000</v>
      </c>
      <c r="J7" s="54">
        <v>2000000</v>
      </c>
      <c r="K7" s="54">
        <v>2000000</v>
      </c>
      <c r="L7" s="54">
        <v>2000000</v>
      </c>
      <c r="M7" s="54">
        <v>2000000</v>
      </c>
      <c r="N7" s="54">
        <v>2000000</v>
      </c>
      <c r="O7" s="54">
        <v>2000000</v>
      </c>
      <c r="P7" s="54">
        <v>2000000</v>
      </c>
      <c r="Q7" s="54">
        <v>2000000</v>
      </c>
    </row>
    <row r="8" spans="2:17" ht="18" customHeight="1" thickBot="1">
      <c r="B8" s="251"/>
      <c r="C8" s="64" t="s">
        <v>114</v>
      </c>
      <c r="D8" s="65" t="s">
        <v>115</v>
      </c>
      <c r="E8" s="55">
        <f aca="true" t="shared" si="0" ref="E8:Q8">E6/E7</f>
        <v>0.5</v>
      </c>
      <c r="F8" s="55">
        <f t="shared" si="0"/>
        <v>0.5</v>
      </c>
      <c r="G8" s="55">
        <f t="shared" si="0"/>
        <v>0.5</v>
      </c>
      <c r="H8" s="55">
        <f t="shared" si="0"/>
        <v>0.5</v>
      </c>
      <c r="I8" s="55">
        <f t="shared" si="0"/>
        <v>0.5</v>
      </c>
      <c r="J8" s="55">
        <f t="shared" si="0"/>
        <v>0.5</v>
      </c>
      <c r="K8" s="55">
        <f t="shared" si="0"/>
        <v>0.5</v>
      </c>
      <c r="L8" s="55">
        <f t="shared" si="0"/>
        <v>0.5</v>
      </c>
      <c r="M8" s="55">
        <f t="shared" si="0"/>
        <v>0.5</v>
      </c>
      <c r="N8" s="55">
        <f t="shared" si="0"/>
        <v>0.5</v>
      </c>
      <c r="O8" s="55">
        <f t="shared" si="0"/>
        <v>0.5</v>
      </c>
      <c r="P8" s="55">
        <f t="shared" si="0"/>
        <v>0.5</v>
      </c>
      <c r="Q8" s="55">
        <f t="shared" si="0"/>
        <v>0.5</v>
      </c>
    </row>
    <row r="9" spans="2:17" ht="18" customHeight="1" thickBot="1">
      <c r="B9" s="251"/>
      <c r="C9" s="64" t="s">
        <v>116</v>
      </c>
      <c r="D9" s="65" t="s">
        <v>117</v>
      </c>
      <c r="E9" s="56">
        <f aca="true" t="shared" si="1" ref="E9:Q9">1/E8</f>
        <v>2</v>
      </c>
      <c r="F9" s="56">
        <f t="shared" si="1"/>
        <v>2</v>
      </c>
      <c r="G9" s="56">
        <f t="shared" si="1"/>
        <v>2</v>
      </c>
      <c r="H9" s="56">
        <f t="shared" si="1"/>
        <v>2</v>
      </c>
      <c r="I9" s="56">
        <f t="shared" si="1"/>
        <v>2</v>
      </c>
      <c r="J9" s="56">
        <f t="shared" si="1"/>
        <v>2</v>
      </c>
      <c r="K9" s="56">
        <f t="shared" si="1"/>
        <v>2</v>
      </c>
      <c r="L9" s="56">
        <f t="shared" si="1"/>
        <v>2</v>
      </c>
      <c r="M9" s="56">
        <f t="shared" si="1"/>
        <v>2</v>
      </c>
      <c r="N9" s="56">
        <f t="shared" si="1"/>
        <v>2</v>
      </c>
      <c r="O9" s="56">
        <f t="shared" si="1"/>
        <v>2</v>
      </c>
      <c r="P9" s="56">
        <f t="shared" si="1"/>
        <v>2</v>
      </c>
      <c r="Q9" s="56">
        <f t="shared" si="1"/>
        <v>2</v>
      </c>
    </row>
    <row r="10" spans="2:17" ht="18" customHeight="1" thickBot="1">
      <c r="B10" s="251"/>
      <c r="C10" s="45" t="s">
        <v>155</v>
      </c>
      <c r="D10" s="66" t="s">
        <v>148</v>
      </c>
      <c r="E10" s="3">
        <f>'18_ Données taux bénéfice'!D4</f>
        <v>0.098</v>
      </c>
      <c r="F10" s="3">
        <f>'18_ Données taux bénéfice'!E4</f>
        <v>0.098</v>
      </c>
      <c r="G10" s="3">
        <f>'18_ Données taux bénéfice'!F4</f>
        <v>0.098</v>
      </c>
      <c r="H10" s="3">
        <f>'18_ Données taux bénéfice'!G4</f>
        <v>0.098</v>
      </c>
      <c r="I10" s="3">
        <f>'18_ Données taux bénéfice'!H4</f>
        <v>0.098</v>
      </c>
      <c r="J10" s="3">
        <f>'18_ Données taux bénéfice'!I4</f>
        <v>0.098</v>
      </c>
      <c r="K10" s="3">
        <f>'18_ Données taux bénéfice'!J4</f>
        <v>0.098</v>
      </c>
      <c r="L10" s="3">
        <f>'18_ Données taux bénéfice'!K4</f>
        <v>0.085</v>
      </c>
      <c r="M10" s="3">
        <f>'18_ Données taux bénéfice'!L4</f>
        <v>0.085</v>
      </c>
      <c r="N10" s="3">
        <f>'18_ Données taux bénéfice'!M4</f>
        <v>0.085</v>
      </c>
      <c r="O10" s="3">
        <f>'18_ Données taux bénéfice'!N4</f>
        <v>0.085</v>
      </c>
      <c r="P10" s="3">
        <f>'18_ Données taux bénéfice'!O4</f>
        <v>0.085</v>
      </c>
      <c r="Q10" s="3">
        <f>'18_ Données taux bénéfice'!P4</f>
        <v>0.085</v>
      </c>
    </row>
    <row r="11" spans="2:17" ht="18" customHeight="1" thickBot="1">
      <c r="B11" s="251"/>
      <c r="C11" s="45" t="s">
        <v>130</v>
      </c>
      <c r="D11" s="66" t="s">
        <v>149</v>
      </c>
      <c r="E11" s="3">
        <f>'18_ Données taux bénéfice'!D7</f>
        <v>0.0454471888667232</v>
      </c>
      <c r="F11" s="3">
        <f>'18_ Données taux bénéfice'!E7</f>
        <v>0.04542937205164503</v>
      </c>
      <c r="G11" s="3">
        <f>'18_ Données taux bénéfice'!F7</f>
        <v>0.045429258778904386</v>
      </c>
      <c r="H11" s="3">
        <f>'18_ Données taux bénéfice'!G7</f>
        <v>0.04539643779221427</v>
      </c>
      <c r="I11" s="3">
        <f>'18_ Données taux bénéfice'!H7</f>
        <v>0.04541296826653552</v>
      </c>
      <c r="J11" s="3">
        <f>'18_ Données taux bénéfice'!I7</f>
        <v>0.04541296826653552</v>
      </c>
      <c r="K11" s="3">
        <f>'18_ Données taux bénéfice'!J7</f>
        <v>0.04541296826653552</v>
      </c>
      <c r="L11" s="3">
        <f>'18_ Données taux bénéfice'!K7</f>
        <v>0.045464750654390984</v>
      </c>
      <c r="M11" s="3">
        <f>'18_ Données taux bénéfice'!L7</f>
        <v>0.04546483261637598</v>
      </c>
      <c r="N11" s="3">
        <f>'18_ Données taux bénéfice'!M7</f>
        <v>0.04546483261637598</v>
      </c>
      <c r="O11" s="3">
        <f>'18_ Données taux bénéfice'!N7</f>
        <v>0.03894171917436863</v>
      </c>
      <c r="P11" s="3">
        <f>'18_ Données taux bénéfice'!O7</f>
        <v>0.03894171917436863</v>
      </c>
      <c r="Q11" s="3">
        <f>'18_ Données taux bénéfice'!P7</f>
        <v>0.03894355446723998</v>
      </c>
    </row>
    <row r="12" spans="2:17" ht="30.75" customHeight="1" thickBot="1">
      <c r="B12" s="251"/>
      <c r="C12" s="45" t="s">
        <v>131</v>
      </c>
      <c r="D12" s="66" t="s">
        <v>199</v>
      </c>
      <c r="E12" s="8">
        <f>'16_Multiplicateurs '!D7</f>
        <v>4.58216</v>
      </c>
      <c r="F12" s="8">
        <f>'16_Multiplicateurs '!E7</f>
        <v>4.69067</v>
      </c>
      <c r="G12" s="8">
        <f>'16_Multiplicateurs '!F7</f>
        <v>4.6913599999999995</v>
      </c>
      <c r="H12" s="8">
        <f>'16_Multiplicateurs '!G7</f>
        <v>4.891359999999999</v>
      </c>
      <c r="I12" s="8">
        <f>'16_Multiplicateurs '!H7</f>
        <v>4.792</v>
      </c>
      <c r="J12" s="8">
        <f>'16_Multiplicateurs '!I7</f>
        <v>4.792</v>
      </c>
      <c r="K12" s="8">
        <f>'16_Multiplicateurs '!J7</f>
        <v>4.792</v>
      </c>
      <c r="L12" s="8">
        <f>'16_Multiplicateurs '!K7</f>
        <v>4.792</v>
      </c>
      <c r="M12" s="8">
        <f>'16_Multiplicateurs '!L7</f>
        <v>4.791499999999999</v>
      </c>
      <c r="N12" s="8">
        <f>'16_Multiplicateurs '!M7</f>
        <v>4.791499999999999</v>
      </c>
      <c r="O12" s="8">
        <f>'16_Multiplicateurs '!N7</f>
        <v>4.791499999999999</v>
      </c>
      <c r="P12" s="8">
        <f>'16_Multiplicateurs '!O7</f>
        <v>4.791499999999999</v>
      </c>
      <c r="Q12" s="8">
        <f>'16_Multiplicateurs '!P7</f>
        <v>4.791499999999999</v>
      </c>
    </row>
    <row r="13" spans="2:17" ht="30" customHeight="1" thickBot="1">
      <c r="B13" s="251"/>
      <c r="C13" s="45" t="s">
        <v>132</v>
      </c>
      <c r="D13" s="66" t="s">
        <v>150</v>
      </c>
      <c r="E13" s="5">
        <f aca="true" t="shared" si="2" ref="E13:Q13">E11*E12</f>
        <v>0.20824629093754438</v>
      </c>
      <c r="F13" s="5">
        <f t="shared" si="2"/>
        <v>0.2130941926014898</v>
      </c>
      <c r="G13" s="5">
        <f t="shared" si="2"/>
        <v>0.21312500746500085</v>
      </c>
      <c r="H13" s="5">
        <f t="shared" si="2"/>
        <v>0.22205031995932514</v>
      </c>
      <c r="I13" s="5">
        <f t="shared" si="2"/>
        <v>0.21761894393323822</v>
      </c>
      <c r="J13" s="5">
        <f t="shared" si="2"/>
        <v>0.21761894393323822</v>
      </c>
      <c r="K13" s="5">
        <f t="shared" si="2"/>
        <v>0.21761894393323822</v>
      </c>
      <c r="L13" s="5">
        <f t="shared" si="2"/>
        <v>0.21786708513584158</v>
      </c>
      <c r="M13" s="5">
        <f t="shared" si="2"/>
        <v>0.21784474548136548</v>
      </c>
      <c r="N13" s="5">
        <f t="shared" si="2"/>
        <v>0.21784474548136548</v>
      </c>
      <c r="O13" s="5">
        <f t="shared" si="2"/>
        <v>0.18658924742398725</v>
      </c>
      <c r="P13" s="5">
        <f t="shared" si="2"/>
        <v>0.18658924742398725</v>
      </c>
      <c r="Q13" s="159">
        <f t="shared" si="2"/>
        <v>0.18659804122978033</v>
      </c>
    </row>
    <row r="14" spans="2:17" ht="25.5" customHeight="1" thickBot="1">
      <c r="B14" s="251"/>
      <c r="C14" s="16" t="s">
        <v>133</v>
      </c>
      <c r="D14" s="73" t="s">
        <v>151</v>
      </c>
      <c r="E14" s="74">
        <f aca="true" t="shared" si="3" ref="E14:Q14">E10+E13</f>
        <v>0.3062462909375444</v>
      </c>
      <c r="F14" s="74">
        <f t="shared" si="3"/>
        <v>0.3110941926014898</v>
      </c>
      <c r="G14" s="74">
        <f t="shared" si="3"/>
        <v>0.3111250074650008</v>
      </c>
      <c r="H14" s="74">
        <f t="shared" si="3"/>
        <v>0.32005031995932515</v>
      </c>
      <c r="I14" s="74">
        <f t="shared" si="3"/>
        <v>0.3156189439332382</v>
      </c>
      <c r="J14" s="74">
        <f t="shared" si="3"/>
        <v>0.3156189439332382</v>
      </c>
      <c r="K14" s="74">
        <f t="shared" si="3"/>
        <v>0.3156189439332382</v>
      </c>
      <c r="L14" s="74">
        <f t="shared" si="3"/>
        <v>0.3028670851358416</v>
      </c>
      <c r="M14" s="74">
        <f t="shared" si="3"/>
        <v>0.3028447454813655</v>
      </c>
      <c r="N14" s="74">
        <f t="shared" si="3"/>
        <v>0.3028447454813655</v>
      </c>
      <c r="O14" s="74">
        <f t="shared" si="3"/>
        <v>0.27158924742398727</v>
      </c>
      <c r="P14" s="74">
        <f t="shared" si="3"/>
        <v>0.27158924742398727</v>
      </c>
      <c r="Q14" s="74">
        <f t="shared" si="3"/>
        <v>0.2715980412297803</v>
      </c>
    </row>
    <row r="15" spans="2:17" ht="25.5" customHeight="1" thickBot="1">
      <c r="B15" s="251"/>
      <c r="C15" s="45" t="s">
        <v>67</v>
      </c>
      <c r="D15" s="63" t="s">
        <v>66</v>
      </c>
      <c r="E15" s="3">
        <f>'19_Données taux capital'!D4</f>
        <v>0.000825</v>
      </c>
      <c r="F15" s="3">
        <f>'19_Données taux capital'!E4</f>
        <v>0.000825</v>
      </c>
      <c r="G15" s="3">
        <f>'19_Données taux capital'!F4</f>
        <v>0.000825</v>
      </c>
      <c r="H15" s="3">
        <f>'19_Données taux capital'!G4</f>
        <v>0.000825</v>
      </c>
      <c r="I15" s="3">
        <f>'19_Données taux capital'!H4</f>
        <v>0.0008</v>
      </c>
      <c r="J15" s="3">
        <f>'19_Données taux capital'!I4</f>
        <v>0.0008</v>
      </c>
      <c r="K15" s="3">
        <f>'19_Données taux capital'!J4</f>
        <v>0.0008</v>
      </c>
      <c r="L15" s="3">
        <f>'19_Données taux capital'!K4</f>
        <v>0</v>
      </c>
      <c r="M15" s="3">
        <f>'19_Données taux capital'!L4</f>
        <v>0</v>
      </c>
      <c r="N15" s="3">
        <f>'19_Données taux capital'!M4</f>
        <v>0</v>
      </c>
      <c r="O15" s="3">
        <f>'19_Données taux capital'!N4</f>
        <v>0</v>
      </c>
      <c r="P15" s="3">
        <f>'19_Données taux capital'!O4</f>
        <v>0</v>
      </c>
      <c r="Q15" s="3">
        <f>'19_Données taux capital'!P4</f>
        <v>0</v>
      </c>
    </row>
    <row r="16" spans="2:18" ht="25.5" customHeight="1" thickBot="1">
      <c r="B16" s="251"/>
      <c r="C16" s="51" t="s">
        <v>134</v>
      </c>
      <c r="D16" s="63" t="s">
        <v>69</v>
      </c>
      <c r="E16" s="3">
        <f aca="true" t="shared" si="4" ref="E16:Q16">E15*E9</f>
        <v>0.00165</v>
      </c>
      <c r="F16" s="3">
        <f t="shared" si="4"/>
        <v>0.00165</v>
      </c>
      <c r="G16" s="3">
        <f t="shared" si="4"/>
        <v>0.00165</v>
      </c>
      <c r="H16" s="3">
        <f t="shared" si="4"/>
        <v>0.00165</v>
      </c>
      <c r="I16" s="3">
        <f t="shared" si="4"/>
        <v>0.0016</v>
      </c>
      <c r="J16" s="3">
        <f t="shared" si="4"/>
        <v>0.0016</v>
      </c>
      <c r="K16" s="3">
        <f t="shared" si="4"/>
        <v>0.0016</v>
      </c>
      <c r="L16" s="3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3">
        <f t="shared" si="4"/>
        <v>0</v>
      </c>
      <c r="Q16" s="3">
        <f t="shared" si="4"/>
        <v>0</v>
      </c>
      <c r="R16" t="s">
        <v>375</v>
      </c>
    </row>
    <row r="17" spans="2:17" ht="30" customHeight="1" thickBot="1">
      <c r="B17" s="251"/>
      <c r="C17" s="45" t="s">
        <v>70</v>
      </c>
      <c r="D17" s="66" t="s">
        <v>71</v>
      </c>
      <c r="E17" s="3">
        <f>'19_Données taux capital'!D5</f>
        <v>0.0009355</v>
      </c>
      <c r="F17" s="3">
        <f>'19_Données taux capital'!E5</f>
        <v>0.0009355</v>
      </c>
      <c r="G17" s="3">
        <f>'19_Données taux capital'!F5</f>
        <v>0.0009355</v>
      </c>
      <c r="H17" s="3">
        <f>'19_Données taux capital'!G5</f>
        <v>0.0009355</v>
      </c>
      <c r="I17" s="3">
        <f>'19_Données taux capital'!H5</f>
        <v>0.0009355</v>
      </c>
      <c r="J17" s="3">
        <f>'19_Données taux capital'!I5</f>
        <v>0.0009355</v>
      </c>
      <c r="K17" s="3">
        <f>'19_Données taux capital'!J5</f>
        <v>0.0009355</v>
      </c>
      <c r="L17" s="3">
        <f>'19_Données taux capital'!K5</f>
        <v>0.0009355</v>
      </c>
      <c r="M17" s="3">
        <f>'19_Données taux capital'!L5</f>
        <v>0.0009355</v>
      </c>
      <c r="N17" s="3">
        <f>'19_Données taux capital'!M5</f>
        <v>0.0009355</v>
      </c>
      <c r="O17" s="3">
        <f>'19_Données taux capital'!N5</f>
        <v>0.0005</v>
      </c>
      <c r="P17" s="3">
        <f>'19_Données taux capital'!O5</f>
        <v>0.0005</v>
      </c>
      <c r="Q17" s="3">
        <f>'19_Données taux capital'!P5</f>
        <v>0.0003</v>
      </c>
    </row>
    <row r="18" spans="2:17" ht="30" customHeight="1" thickBot="1">
      <c r="B18" s="251"/>
      <c r="C18" s="45" t="s">
        <v>72</v>
      </c>
      <c r="D18" s="80" t="s">
        <v>164</v>
      </c>
      <c r="E18" s="3">
        <f aca="true" t="shared" si="5" ref="E18:Q18">E17*E12</f>
        <v>0.0042866106800000005</v>
      </c>
      <c r="F18" s="3">
        <f t="shared" si="5"/>
        <v>0.004388121785</v>
      </c>
      <c r="G18" s="3">
        <f t="shared" si="5"/>
        <v>0.00438876728</v>
      </c>
      <c r="H18" s="3">
        <f t="shared" si="5"/>
        <v>0.004575867279999999</v>
      </c>
      <c r="I18" s="3">
        <f t="shared" si="5"/>
        <v>0.004482916</v>
      </c>
      <c r="J18" s="3">
        <f t="shared" si="5"/>
        <v>0.004482916</v>
      </c>
      <c r="K18" s="3">
        <f t="shared" si="5"/>
        <v>0.004482916</v>
      </c>
      <c r="L18" s="3">
        <f t="shared" si="5"/>
        <v>0.004482916</v>
      </c>
      <c r="M18" s="3">
        <f t="shared" si="5"/>
        <v>0.004482448249999999</v>
      </c>
      <c r="N18" s="3">
        <f t="shared" si="5"/>
        <v>0.004482448249999999</v>
      </c>
      <c r="O18" s="3">
        <f t="shared" si="5"/>
        <v>0.0023957499999999994</v>
      </c>
      <c r="P18" s="3">
        <f t="shared" si="5"/>
        <v>0.0023957499999999994</v>
      </c>
      <c r="Q18" s="3">
        <f t="shared" si="5"/>
        <v>0.0014374499999999996</v>
      </c>
    </row>
    <row r="19" spans="2:17" ht="29.25" customHeight="1" thickBot="1">
      <c r="B19" s="228"/>
      <c r="C19" s="45" t="s">
        <v>73</v>
      </c>
      <c r="D19" s="63" t="s">
        <v>81</v>
      </c>
      <c r="E19" s="3">
        <f aca="true" t="shared" si="6" ref="E19:Q19">E17*E9*E12</f>
        <v>0.008573221360000001</v>
      </c>
      <c r="F19" s="3">
        <f t="shared" si="6"/>
        <v>0.00877624357</v>
      </c>
      <c r="G19" s="3">
        <f t="shared" si="6"/>
        <v>0.00877753456</v>
      </c>
      <c r="H19" s="3">
        <f t="shared" si="6"/>
        <v>0.009151734559999998</v>
      </c>
      <c r="I19" s="3">
        <f t="shared" si="6"/>
        <v>0.008965832</v>
      </c>
      <c r="J19" s="3">
        <f t="shared" si="6"/>
        <v>0.008965832</v>
      </c>
      <c r="K19" s="3">
        <f t="shared" si="6"/>
        <v>0.008965832</v>
      </c>
      <c r="L19" s="3">
        <f t="shared" si="6"/>
        <v>0.008965832</v>
      </c>
      <c r="M19" s="3">
        <f t="shared" si="6"/>
        <v>0.008964896499999998</v>
      </c>
      <c r="N19" s="3">
        <f t="shared" si="6"/>
        <v>0.008964896499999998</v>
      </c>
      <c r="O19" s="3">
        <f t="shared" si="6"/>
        <v>0.004791499999999999</v>
      </c>
      <c r="P19" s="3">
        <f t="shared" si="6"/>
        <v>0.004791499999999999</v>
      </c>
      <c r="Q19" s="3">
        <f t="shared" si="6"/>
        <v>0.0028748999999999992</v>
      </c>
    </row>
    <row r="20" spans="2:17" ht="30.75" customHeight="1" thickBot="1">
      <c r="B20" s="228"/>
      <c r="C20" s="45" t="s">
        <v>165</v>
      </c>
      <c r="D20" s="63" t="s">
        <v>82</v>
      </c>
      <c r="E20" s="3">
        <f aca="true" t="shared" si="7" ref="E20:Q21">E15+E18</f>
        <v>0.005111610680000001</v>
      </c>
      <c r="F20" s="3">
        <f t="shared" si="7"/>
        <v>0.005213121785</v>
      </c>
      <c r="G20" s="3">
        <f t="shared" si="7"/>
        <v>0.00521376728</v>
      </c>
      <c r="H20" s="3">
        <f t="shared" si="7"/>
        <v>0.005400867279999999</v>
      </c>
      <c r="I20" s="3">
        <f t="shared" si="7"/>
        <v>0.005282916</v>
      </c>
      <c r="J20" s="3">
        <f t="shared" si="7"/>
        <v>0.005282916</v>
      </c>
      <c r="K20" s="3">
        <f t="shared" si="7"/>
        <v>0.005282916</v>
      </c>
      <c r="L20" s="3">
        <f t="shared" si="7"/>
        <v>0.004482916</v>
      </c>
      <c r="M20" s="3">
        <f t="shared" si="7"/>
        <v>0.004482448249999999</v>
      </c>
      <c r="N20" s="3">
        <f t="shared" si="7"/>
        <v>0.004482448249999999</v>
      </c>
      <c r="O20" s="3">
        <f t="shared" si="7"/>
        <v>0.0023957499999999994</v>
      </c>
      <c r="P20" s="3">
        <f t="shared" si="7"/>
        <v>0.0023957499999999994</v>
      </c>
      <c r="Q20" s="3">
        <f t="shared" si="7"/>
        <v>0.0014374499999999996</v>
      </c>
    </row>
    <row r="21" spans="2:17" ht="29.25" customHeight="1" thickBot="1">
      <c r="B21" s="229"/>
      <c r="C21" s="16" t="s">
        <v>74</v>
      </c>
      <c r="D21" s="75" t="s">
        <v>156</v>
      </c>
      <c r="E21" s="74">
        <f t="shared" si="7"/>
        <v>0.010223221360000001</v>
      </c>
      <c r="F21" s="74">
        <f t="shared" si="7"/>
        <v>0.01042624357</v>
      </c>
      <c r="G21" s="74">
        <f t="shared" si="7"/>
        <v>0.01042753456</v>
      </c>
      <c r="H21" s="74">
        <f t="shared" si="7"/>
        <v>0.010801734559999998</v>
      </c>
      <c r="I21" s="74">
        <f t="shared" si="7"/>
        <v>0.010565832</v>
      </c>
      <c r="J21" s="74">
        <f t="shared" si="7"/>
        <v>0.010565832</v>
      </c>
      <c r="K21" s="74">
        <f t="shared" si="7"/>
        <v>0.010565832</v>
      </c>
      <c r="L21" s="74">
        <f t="shared" si="7"/>
        <v>0.008965832</v>
      </c>
      <c r="M21" s="74">
        <f t="shared" si="7"/>
        <v>0.008964896499999998</v>
      </c>
      <c r="N21" s="74">
        <f t="shared" si="7"/>
        <v>0.008964896499999998</v>
      </c>
      <c r="O21" s="74">
        <f t="shared" si="7"/>
        <v>0.004791499999999999</v>
      </c>
      <c r="P21" s="74">
        <f t="shared" si="7"/>
        <v>0.004791499999999999</v>
      </c>
      <c r="Q21" s="74">
        <f t="shared" si="7"/>
        <v>0.0028748999999999992</v>
      </c>
    </row>
    <row r="22" spans="2:17" ht="11.25" customHeight="1" thickBot="1">
      <c r="B22" s="87"/>
      <c r="C22" s="83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2:17" ht="18" thickBot="1">
      <c r="B23" s="226" t="s">
        <v>212</v>
      </c>
      <c r="C23" s="6" t="s">
        <v>75</v>
      </c>
      <c r="D23" s="49" t="s">
        <v>145</v>
      </c>
      <c r="E23" s="50">
        <f aca="true" t="shared" si="8" ref="E23:Q23">E14*(1-E21)/(1+E14)</f>
        <v>0.2320507774204304</v>
      </c>
      <c r="F23" s="50">
        <f t="shared" si="8"/>
        <v>0.23480437219035571</v>
      </c>
      <c r="G23" s="50">
        <f t="shared" si="8"/>
        <v>0.2348218048959743</v>
      </c>
      <c r="H23" s="50">
        <f t="shared" si="8"/>
        <v>0.2398342067498129</v>
      </c>
      <c r="I23" s="50">
        <f t="shared" si="8"/>
        <v>0.23736673041663744</v>
      </c>
      <c r="J23" s="50">
        <f t="shared" si="8"/>
        <v>0.23736673041663744</v>
      </c>
      <c r="K23" s="50">
        <f t="shared" si="8"/>
        <v>0.23736673041663744</v>
      </c>
      <c r="L23" s="50">
        <f t="shared" si="8"/>
        <v>0.2303777823206648</v>
      </c>
      <c r="M23" s="50">
        <f t="shared" si="8"/>
        <v>0.23036495693250575</v>
      </c>
      <c r="N23" s="50">
        <f t="shared" si="8"/>
        <v>0.23036495693250575</v>
      </c>
      <c r="O23" s="50">
        <f t="shared" si="8"/>
        <v>0.21255914839836082</v>
      </c>
      <c r="P23" s="50">
        <f t="shared" si="8"/>
        <v>0.21255914839836082</v>
      </c>
      <c r="Q23" s="50">
        <f t="shared" si="8"/>
        <v>0.21297392355145314</v>
      </c>
    </row>
    <row r="24" spans="2:17" ht="26.25" thickBot="1">
      <c r="B24" s="251"/>
      <c r="C24" s="6" t="s">
        <v>76</v>
      </c>
      <c r="D24" s="49" t="s">
        <v>147</v>
      </c>
      <c r="E24" s="50">
        <f aca="true" t="shared" si="9" ref="E24:Q24">E21</f>
        <v>0.010223221360000001</v>
      </c>
      <c r="F24" s="50">
        <f t="shared" si="9"/>
        <v>0.01042624357</v>
      </c>
      <c r="G24" s="50">
        <f t="shared" si="9"/>
        <v>0.01042753456</v>
      </c>
      <c r="H24" s="50">
        <f t="shared" si="9"/>
        <v>0.010801734559999998</v>
      </c>
      <c r="I24" s="50">
        <f t="shared" si="9"/>
        <v>0.010565832</v>
      </c>
      <c r="J24" s="50">
        <f t="shared" si="9"/>
        <v>0.010565832</v>
      </c>
      <c r="K24" s="50">
        <f t="shared" si="9"/>
        <v>0.010565832</v>
      </c>
      <c r="L24" s="50">
        <f t="shared" si="9"/>
        <v>0.008965832</v>
      </c>
      <c r="M24" s="50">
        <f t="shared" si="9"/>
        <v>0.008964896499999998</v>
      </c>
      <c r="N24" s="50">
        <f t="shared" si="9"/>
        <v>0.008964896499999998</v>
      </c>
      <c r="O24" s="50">
        <f t="shared" si="9"/>
        <v>0.004791499999999999</v>
      </c>
      <c r="P24" s="50">
        <f t="shared" si="9"/>
        <v>0.004791499999999999</v>
      </c>
      <c r="Q24" s="50">
        <f t="shared" si="9"/>
        <v>0.0028748999999999992</v>
      </c>
    </row>
    <row r="25" spans="2:17" ht="18" thickBot="1">
      <c r="B25" s="251"/>
      <c r="C25" s="6" t="s">
        <v>77</v>
      </c>
      <c r="D25" s="76" t="s">
        <v>146</v>
      </c>
      <c r="E25" s="218">
        <f aca="true" t="shared" si="10" ref="E25:Q25">E23+E24</f>
        <v>0.2422739987804304</v>
      </c>
      <c r="F25" s="50">
        <f t="shared" si="10"/>
        <v>0.2452306157603557</v>
      </c>
      <c r="G25" s="50">
        <f t="shared" si="10"/>
        <v>0.2452493394559743</v>
      </c>
      <c r="H25" s="50">
        <f t="shared" si="10"/>
        <v>0.2506359413098129</v>
      </c>
      <c r="I25" s="50">
        <f t="shared" si="10"/>
        <v>0.24793256241663744</v>
      </c>
      <c r="J25" s="50">
        <f t="shared" si="10"/>
        <v>0.24793256241663744</v>
      </c>
      <c r="K25" s="50">
        <f t="shared" si="10"/>
        <v>0.24793256241663744</v>
      </c>
      <c r="L25" s="50">
        <f t="shared" si="10"/>
        <v>0.2393436143206648</v>
      </c>
      <c r="M25" s="50">
        <f t="shared" si="10"/>
        <v>0.23932985343250573</v>
      </c>
      <c r="N25" s="50">
        <f t="shared" si="10"/>
        <v>0.23932985343250573</v>
      </c>
      <c r="O25" s="50">
        <f t="shared" si="10"/>
        <v>0.21735064839836082</v>
      </c>
      <c r="P25" s="50">
        <f t="shared" si="10"/>
        <v>0.21735064839836082</v>
      </c>
      <c r="Q25" s="50">
        <f t="shared" si="10"/>
        <v>0.21584882355145313</v>
      </c>
    </row>
    <row r="26" spans="2:17" ht="15" thickBot="1">
      <c r="B26" s="251"/>
      <c r="C26" s="112" t="s">
        <v>78</v>
      </c>
      <c r="D26" s="113" t="s">
        <v>113</v>
      </c>
      <c r="E26" s="118">
        <f>'7_Comp_montant_charge fiscal'!D5/1000000</f>
        <v>0.242273</v>
      </c>
      <c r="F26" s="118">
        <f>'7_Comp_montant_charge fiscal'!E5/1000000</f>
        <v>0.245239</v>
      </c>
      <c r="G26" s="118">
        <f>'7_Comp_montant_charge fiscal'!F5/1000000</f>
        <v>0.245264</v>
      </c>
      <c r="H26" s="118">
        <f>'7_Comp_montant_charge fiscal'!G5/1000000</f>
        <v>0.250647</v>
      </c>
      <c r="I26" s="118">
        <f>'7_Comp_montant_charge fiscal'!H5/1000000</f>
        <v>0.247943</v>
      </c>
      <c r="J26" s="118">
        <f>'7_Comp_montant_charge fiscal'!I5/1000000</f>
        <v>0.247943</v>
      </c>
      <c r="K26" s="118">
        <f>'7_Comp_montant_charge fiscal'!J5/1000000</f>
        <v>0.247925</v>
      </c>
      <c r="L26" s="118">
        <f>'7_Comp_montant_charge fiscal'!K5/1000000</f>
        <v>0.239356</v>
      </c>
      <c r="M26" s="118">
        <f>'7_Comp_montant_charge fiscal'!L5/1000000</f>
        <v>0.239338</v>
      </c>
      <c r="N26" s="118">
        <f>'7_Comp_montant_charge fiscal'!M5/1000000</f>
        <v>0.239338</v>
      </c>
      <c r="O26" s="118">
        <f>'7_Comp_montant_charge fiscal'!N5/1000000</f>
        <v>0.217337</v>
      </c>
      <c r="P26" s="118">
        <f>'7_Comp_montant_charge fiscal'!O5/1000000</f>
        <v>0.217337</v>
      </c>
      <c r="Q26" s="118">
        <f>'7_Comp_montant_charge fiscal'!P5/1000000</f>
        <v>0.215834</v>
      </c>
    </row>
    <row r="27" spans="2:17" ht="15" thickBot="1">
      <c r="B27" s="252"/>
      <c r="C27" s="6" t="s">
        <v>79</v>
      </c>
      <c r="D27" s="81" t="s">
        <v>80</v>
      </c>
      <c r="E27" s="146">
        <f>E25-E26</f>
        <v>9.987804304167902E-07</v>
      </c>
      <c r="F27" s="146">
        <f>F25-F26</f>
        <v>-8.38423964430457E-06</v>
      </c>
      <c r="G27" s="146">
        <f aca="true" t="shared" si="11" ref="G27:M27">G25-G26</f>
        <v>-1.466054402571304E-05</v>
      </c>
      <c r="H27" s="146">
        <f t="shared" si="11"/>
        <v>-1.1058690187082387E-05</v>
      </c>
      <c r="I27" s="146">
        <f t="shared" si="11"/>
        <v>-1.0437583362554737E-05</v>
      </c>
      <c r="J27" s="146">
        <f t="shared" si="11"/>
        <v>-1.0437583362554737E-05</v>
      </c>
      <c r="K27" s="146">
        <f t="shared" si="11"/>
        <v>7.5624166374355095E-06</v>
      </c>
      <c r="L27" s="146">
        <f t="shared" si="11"/>
        <v>-1.2385679335202848E-05</v>
      </c>
      <c r="M27" s="146">
        <f t="shared" si="11"/>
        <v>-8.14656749426046E-06</v>
      </c>
      <c r="N27" s="146">
        <f>N25-N26</f>
        <v>-8.14656749426046E-06</v>
      </c>
      <c r="O27" s="146">
        <f>O25-O26</f>
        <v>1.3648398360821545E-05</v>
      </c>
      <c r="P27" s="146">
        <f>P25-P26</f>
        <v>1.3648398360821545E-05</v>
      </c>
      <c r="Q27" s="146">
        <f>Q25-Q26</f>
        <v>1.4823551453130301E-05</v>
      </c>
    </row>
    <row r="28" ht="11.25">
      <c r="E28" s="10"/>
    </row>
    <row r="29" ht="11.25">
      <c r="E29" s="10"/>
    </row>
  </sheetData>
  <mergeCells count="17">
    <mergeCell ref="B6:B21"/>
    <mergeCell ref="B23:B27"/>
    <mergeCell ref="P4:P5"/>
    <mergeCell ref="Q4:Q5"/>
    <mergeCell ref="B4:D4"/>
    <mergeCell ref="E4:E5"/>
    <mergeCell ref="F4:F5"/>
    <mergeCell ref="G4:G5"/>
    <mergeCell ref="B5:C5"/>
    <mergeCell ref="L4:L5"/>
    <mergeCell ref="M4:M5"/>
    <mergeCell ref="N4:N5"/>
    <mergeCell ref="O4:O5"/>
    <mergeCell ref="H4:H5"/>
    <mergeCell ref="I4:I5"/>
    <mergeCell ref="J4:J5"/>
    <mergeCell ref="K4:K5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R29"/>
  <sheetViews>
    <sheetView workbookViewId="0" topLeftCell="O1">
      <selection activeCell="U8" sqref="U8"/>
    </sheetView>
  </sheetViews>
  <sheetFormatPr defaultColWidth="12" defaultRowHeight="11.25"/>
  <cols>
    <col min="1" max="1" width="6.83203125" style="0" customWidth="1"/>
    <col min="2" max="2" width="12.83203125" style="0" customWidth="1"/>
    <col min="3" max="3" width="53.16015625" style="0" customWidth="1"/>
    <col min="4" max="4" width="38.66015625" style="0" customWidth="1"/>
    <col min="5" max="5" width="15.16015625" style="0" customWidth="1"/>
    <col min="6" max="6" width="13" style="0" customWidth="1"/>
    <col min="7" max="7" width="16.5" style="0" customWidth="1"/>
    <col min="8" max="8" width="18.66015625" style="0" customWidth="1"/>
    <col min="9" max="9" width="16.33203125" style="0" customWidth="1"/>
    <col min="10" max="10" width="15.83203125" style="0" customWidth="1"/>
    <col min="11" max="11" width="16.83203125" style="0" customWidth="1"/>
    <col min="12" max="12" width="13.33203125" style="0" customWidth="1"/>
    <col min="13" max="13" width="17.16015625" style="0" customWidth="1"/>
    <col min="14" max="14" width="16.5" style="0" customWidth="1"/>
    <col min="15" max="15" width="13.33203125" style="0" customWidth="1"/>
  </cols>
  <sheetData>
    <row r="1" ht="11.25">
      <c r="A1" s="122" t="s">
        <v>318</v>
      </c>
    </row>
    <row r="2" ht="15.75">
      <c r="C2" s="52"/>
    </row>
    <row r="3" ht="12" thickBot="1"/>
    <row r="4" spans="2:17" ht="32.25" customHeight="1" thickBot="1">
      <c r="B4" s="242" t="s">
        <v>533</v>
      </c>
      <c r="C4" s="253"/>
      <c r="D4" s="243"/>
      <c r="E4" s="230">
        <v>1991</v>
      </c>
      <c r="F4" s="230">
        <v>1992</v>
      </c>
      <c r="G4" s="230">
        <v>1993</v>
      </c>
      <c r="H4" s="230">
        <v>1994</v>
      </c>
      <c r="I4" s="230">
        <v>1995</v>
      </c>
      <c r="J4" s="230">
        <v>1996</v>
      </c>
      <c r="K4" s="230">
        <v>1997</v>
      </c>
      <c r="L4" s="230">
        <v>1998</v>
      </c>
      <c r="M4" s="230">
        <v>1999</v>
      </c>
      <c r="N4" s="230">
        <v>2000</v>
      </c>
      <c r="O4" s="232">
        <v>2001</v>
      </c>
      <c r="P4" s="232">
        <v>2002</v>
      </c>
      <c r="Q4" s="232">
        <v>2003</v>
      </c>
    </row>
    <row r="5" spans="2:17" ht="18" customHeight="1" thickBot="1">
      <c r="B5" s="249" t="s">
        <v>61</v>
      </c>
      <c r="C5" s="250"/>
      <c r="D5" s="90" t="s">
        <v>204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25"/>
      <c r="P5" s="225"/>
      <c r="Q5" s="225"/>
    </row>
    <row r="6" spans="2:17" ht="18" customHeight="1" thickBot="1">
      <c r="B6" s="226" t="s">
        <v>215</v>
      </c>
      <c r="C6" s="48" t="s">
        <v>210</v>
      </c>
      <c r="D6" s="63" t="s">
        <v>90</v>
      </c>
      <c r="E6" s="54">
        <v>1000000</v>
      </c>
      <c r="F6" s="54">
        <v>1000000</v>
      </c>
      <c r="G6" s="54">
        <v>1000000</v>
      </c>
      <c r="H6" s="54">
        <v>1000000</v>
      </c>
      <c r="I6" s="54">
        <v>1000000</v>
      </c>
      <c r="J6" s="54">
        <v>1000000</v>
      </c>
      <c r="K6" s="54">
        <v>1000000</v>
      </c>
      <c r="L6" s="54">
        <v>1000000</v>
      </c>
      <c r="M6" s="54">
        <v>1000000</v>
      </c>
      <c r="N6" s="54">
        <v>1000000</v>
      </c>
      <c r="O6" s="54">
        <v>1000000</v>
      </c>
      <c r="P6" s="54">
        <v>1000000</v>
      </c>
      <c r="Q6" s="54">
        <v>1000000</v>
      </c>
    </row>
    <row r="7" spans="2:17" ht="18" customHeight="1" thickBot="1">
      <c r="B7" s="251"/>
      <c r="C7" s="48" t="s">
        <v>211</v>
      </c>
      <c r="D7" s="63" t="s">
        <v>91</v>
      </c>
      <c r="E7" s="54">
        <v>2000000</v>
      </c>
      <c r="F7" s="54">
        <v>2000000</v>
      </c>
      <c r="G7" s="54">
        <v>2000000</v>
      </c>
      <c r="H7" s="54">
        <v>2000000</v>
      </c>
      <c r="I7" s="54">
        <v>2000000</v>
      </c>
      <c r="J7" s="54">
        <v>2000000</v>
      </c>
      <c r="K7" s="54">
        <v>2000000</v>
      </c>
      <c r="L7" s="54">
        <v>2000000</v>
      </c>
      <c r="M7" s="54">
        <v>2000000</v>
      </c>
      <c r="N7" s="54">
        <v>2000000</v>
      </c>
      <c r="O7" s="54">
        <v>2000000</v>
      </c>
      <c r="P7" s="54">
        <v>2000000</v>
      </c>
      <c r="Q7" s="54">
        <v>2000000</v>
      </c>
    </row>
    <row r="8" spans="2:17" ht="18" customHeight="1" thickBot="1">
      <c r="B8" s="251"/>
      <c r="C8" s="64" t="s">
        <v>114</v>
      </c>
      <c r="D8" s="65" t="s">
        <v>115</v>
      </c>
      <c r="E8" s="55">
        <f aca="true" t="shared" si="0" ref="E8:Q8">E6/E7</f>
        <v>0.5</v>
      </c>
      <c r="F8" s="55">
        <f t="shared" si="0"/>
        <v>0.5</v>
      </c>
      <c r="G8" s="55">
        <f t="shared" si="0"/>
        <v>0.5</v>
      </c>
      <c r="H8" s="55">
        <f t="shared" si="0"/>
        <v>0.5</v>
      </c>
      <c r="I8" s="55">
        <f t="shared" si="0"/>
        <v>0.5</v>
      </c>
      <c r="J8" s="55">
        <f t="shared" si="0"/>
        <v>0.5</v>
      </c>
      <c r="K8" s="55">
        <f t="shared" si="0"/>
        <v>0.5</v>
      </c>
      <c r="L8" s="55">
        <f t="shared" si="0"/>
        <v>0.5</v>
      </c>
      <c r="M8" s="55">
        <f t="shared" si="0"/>
        <v>0.5</v>
      </c>
      <c r="N8" s="55">
        <f t="shared" si="0"/>
        <v>0.5</v>
      </c>
      <c r="O8" s="55">
        <f t="shared" si="0"/>
        <v>0.5</v>
      </c>
      <c r="P8" s="55">
        <f t="shared" si="0"/>
        <v>0.5</v>
      </c>
      <c r="Q8" s="55">
        <f t="shared" si="0"/>
        <v>0.5</v>
      </c>
    </row>
    <row r="9" spans="2:17" ht="18" customHeight="1" thickBot="1">
      <c r="B9" s="251"/>
      <c r="C9" s="64" t="s">
        <v>116</v>
      </c>
      <c r="D9" s="65" t="s">
        <v>117</v>
      </c>
      <c r="E9" s="56">
        <f aca="true" t="shared" si="1" ref="E9:Q9">1/E8</f>
        <v>2</v>
      </c>
      <c r="F9" s="56">
        <f t="shared" si="1"/>
        <v>2</v>
      </c>
      <c r="G9" s="56">
        <f t="shared" si="1"/>
        <v>2</v>
      </c>
      <c r="H9" s="56">
        <f t="shared" si="1"/>
        <v>2</v>
      </c>
      <c r="I9" s="56">
        <f t="shared" si="1"/>
        <v>2</v>
      </c>
      <c r="J9" s="56">
        <f t="shared" si="1"/>
        <v>2</v>
      </c>
      <c r="K9" s="56">
        <f t="shared" si="1"/>
        <v>2</v>
      </c>
      <c r="L9" s="56">
        <f t="shared" si="1"/>
        <v>2</v>
      </c>
      <c r="M9" s="56">
        <f t="shared" si="1"/>
        <v>2</v>
      </c>
      <c r="N9" s="56">
        <f t="shared" si="1"/>
        <v>2</v>
      </c>
      <c r="O9" s="56">
        <f t="shared" si="1"/>
        <v>2</v>
      </c>
      <c r="P9" s="56">
        <f t="shared" si="1"/>
        <v>2</v>
      </c>
      <c r="Q9" s="56">
        <f t="shared" si="1"/>
        <v>2</v>
      </c>
    </row>
    <row r="10" spans="2:17" ht="18" customHeight="1" thickBot="1">
      <c r="B10" s="251"/>
      <c r="C10" s="45" t="s">
        <v>155</v>
      </c>
      <c r="D10" s="66" t="s">
        <v>148</v>
      </c>
      <c r="E10" s="3">
        <f>'18_ Données taux bénéfice'!D4</f>
        <v>0.098</v>
      </c>
      <c r="F10" s="3">
        <f>'18_ Données taux bénéfice'!E4</f>
        <v>0.098</v>
      </c>
      <c r="G10" s="3">
        <f>'18_ Données taux bénéfice'!F4</f>
        <v>0.098</v>
      </c>
      <c r="H10" s="3">
        <f>'18_ Données taux bénéfice'!G4</f>
        <v>0.098</v>
      </c>
      <c r="I10" s="3">
        <f>'18_ Données taux bénéfice'!H4</f>
        <v>0.098</v>
      </c>
      <c r="J10" s="3">
        <f>'18_ Données taux bénéfice'!I4</f>
        <v>0.098</v>
      </c>
      <c r="K10" s="3">
        <f>'18_ Données taux bénéfice'!J4</f>
        <v>0.098</v>
      </c>
      <c r="L10" s="3">
        <f>'18_ Données taux bénéfice'!K4</f>
        <v>0.085</v>
      </c>
      <c r="M10" s="3">
        <f>'18_ Données taux bénéfice'!L4</f>
        <v>0.085</v>
      </c>
      <c r="N10" s="3">
        <f>'18_ Données taux bénéfice'!M4</f>
        <v>0.085</v>
      </c>
      <c r="O10" s="3">
        <f>'18_ Données taux bénéfice'!N4</f>
        <v>0.085</v>
      </c>
      <c r="P10" s="3">
        <f>'18_ Données taux bénéfice'!O4</f>
        <v>0.085</v>
      </c>
      <c r="Q10" s="3">
        <f>'18_ Données taux bénéfice'!P4</f>
        <v>0.085</v>
      </c>
    </row>
    <row r="11" spans="2:17" ht="18" customHeight="1" thickBot="1">
      <c r="B11" s="251"/>
      <c r="C11" s="45" t="s">
        <v>130</v>
      </c>
      <c r="D11" s="66" t="s">
        <v>149</v>
      </c>
      <c r="E11" s="3">
        <f>'18_ Données taux bénéfice'!D6</f>
        <v>0.04542928917082075</v>
      </c>
      <c r="F11" s="3">
        <f>'18_ Données taux bénéfice'!E6</f>
        <v>0.04541074139667098</v>
      </c>
      <c r="G11" s="3">
        <f>'18_ Données taux bénéfice'!F6</f>
        <v>0.045410623429603336</v>
      </c>
      <c r="H11" s="3">
        <f>'18_ Données taux bénéfice'!G6</f>
        <v>0.04537641709716745</v>
      </c>
      <c r="I11" s="3">
        <f>'18_ Données taux bénéfice'!H6</f>
        <v>0.045393646826233314</v>
      </c>
      <c r="J11" s="3">
        <f>'18_ Données taux bénéfice'!I6</f>
        <v>0.045393646826233314</v>
      </c>
      <c r="K11" s="3">
        <f>'18_ Données taux bénéfice'!J6</f>
        <v>0.045393646826233314</v>
      </c>
      <c r="L11" s="3">
        <f>'18_ Données taux bénéfice'!K6</f>
        <v>0.045446339424293186</v>
      </c>
      <c r="M11" s="3">
        <f>'18_ Données taux bénéfice'!L6</f>
        <v>0.04544642474791006</v>
      </c>
      <c r="N11" s="3">
        <f>'18_ Données taux bénéfice'!M6</f>
        <v>0.04544642474791006</v>
      </c>
      <c r="O11" s="3">
        <f>'18_ Données taux bénéfice'!N6</f>
        <v>0.038940964361990474</v>
      </c>
      <c r="P11" s="3">
        <f>'18_ Données taux bénéfice'!O6</f>
        <v>0.038940964361990474</v>
      </c>
      <c r="Q11" s="3">
        <f>'18_ Données taux bénéfice'!P6</f>
        <v>0.03894280774924832</v>
      </c>
    </row>
    <row r="12" spans="2:17" ht="30.75" customHeight="1" thickBot="1">
      <c r="B12" s="251"/>
      <c r="C12" s="45" t="s">
        <v>131</v>
      </c>
      <c r="D12" s="66" t="s">
        <v>199</v>
      </c>
      <c r="E12" s="8">
        <f>'16_Multiplicateurs '!D7</f>
        <v>4.58216</v>
      </c>
      <c r="F12" s="8">
        <f>'16_Multiplicateurs '!E7</f>
        <v>4.69067</v>
      </c>
      <c r="G12" s="8">
        <f>'16_Multiplicateurs '!F7</f>
        <v>4.6913599999999995</v>
      </c>
      <c r="H12" s="8">
        <f>'16_Multiplicateurs '!G7</f>
        <v>4.891359999999999</v>
      </c>
      <c r="I12" s="8">
        <f>'16_Multiplicateurs '!H7</f>
        <v>4.792</v>
      </c>
      <c r="J12" s="8">
        <f>'16_Multiplicateurs '!I7</f>
        <v>4.792</v>
      </c>
      <c r="K12" s="8">
        <f>'16_Multiplicateurs '!J7</f>
        <v>4.792</v>
      </c>
      <c r="L12" s="8">
        <f>'16_Multiplicateurs '!K7</f>
        <v>4.792</v>
      </c>
      <c r="M12" s="8">
        <f>'16_Multiplicateurs '!L7</f>
        <v>4.791499999999999</v>
      </c>
      <c r="N12" s="8">
        <f>'16_Multiplicateurs '!M7</f>
        <v>4.791499999999999</v>
      </c>
      <c r="O12" s="8">
        <f>'16_Multiplicateurs '!N7</f>
        <v>4.791499999999999</v>
      </c>
      <c r="P12" s="8">
        <f>'16_Multiplicateurs '!O7</f>
        <v>4.791499999999999</v>
      </c>
      <c r="Q12" s="8">
        <f>'16_Multiplicateurs '!P7</f>
        <v>4.791499999999999</v>
      </c>
    </row>
    <row r="13" spans="2:17" ht="30" customHeight="1" thickBot="1">
      <c r="B13" s="251"/>
      <c r="C13" s="45" t="s">
        <v>132</v>
      </c>
      <c r="D13" s="66" t="s">
        <v>150</v>
      </c>
      <c r="E13" s="5">
        <f aca="true" t="shared" si="2" ref="E13:Q13">E11*E12</f>
        <v>0.20816427166696802</v>
      </c>
      <c r="F13" s="5">
        <f t="shared" si="2"/>
        <v>0.21300680234712266</v>
      </c>
      <c r="G13" s="5">
        <f t="shared" si="2"/>
        <v>0.2130375823327039</v>
      </c>
      <c r="H13" s="5">
        <f t="shared" si="2"/>
        <v>0.22195239153240093</v>
      </c>
      <c r="I13" s="5">
        <f t="shared" si="2"/>
        <v>0.21752635559131003</v>
      </c>
      <c r="J13" s="5">
        <f t="shared" si="2"/>
        <v>0.21752635559131003</v>
      </c>
      <c r="K13" s="5">
        <f t="shared" si="2"/>
        <v>0.21752635559131003</v>
      </c>
      <c r="L13" s="5">
        <f t="shared" si="2"/>
        <v>0.21777885852121295</v>
      </c>
      <c r="M13" s="5">
        <f t="shared" si="2"/>
        <v>0.21775654417961102</v>
      </c>
      <c r="N13" s="5">
        <f t="shared" si="2"/>
        <v>0.21775654417961102</v>
      </c>
      <c r="O13" s="5">
        <f t="shared" si="2"/>
        <v>0.18658563074047732</v>
      </c>
      <c r="P13" s="5">
        <f t="shared" si="2"/>
        <v>0.18658563074047732</v>
      </c>
      <c r="Q13" s="159">
        <f t="shared" si="2"/>
        <v>0.1865944633305233</v>
      </c>
    </row>
    <row r="14" spans="2:17" ht="25.5" customHeight="1" thickBot="1">
      <c r="B14" s="251"/>
      <c r="C14" s="16" t="s">
        <v>133</v>
      </c>
      <c r="D14" s="73" t="s">
        <v>151</v>
      </c>
      <c r="E14" s="74">
        <f aca="true" t="shared" si="3" ref="E14:Q14">E10+E13</f>
        <v>0.306164271666968</v>
      </c>
      <c r="F14" s="74">
        <f t="shared" si="3"/>
        <v>0.31100680234712264</v>
      </c>
      <c r="G14" s="74">
        <f t="shared" si="3"/>
        <v>0.3110375823327039</v>
      </c>
      <c r="H14" s="74">
        <f t="shared" si="3"/>
        <v>0.31995239153240096</v>
      </c>
      <c r="I14" s="74">
        <f t="shared" si="3"/>
        <v>0.31552635559131004</v>
      </c>
      <c r="J14" s="74">
        <f t="shared" si="3"/>
        <v>0.31552635559131004</v>
      </c>
      <c r="K14" s="74">
        <f t="shared" si="3"/>
        <v>0.31552635559131004</v>
      </c>
      <c r="L14" s="74">
        <f t="shared" si="3"/>
        <v>0.30277885852121295</v>
      </c>
      <c r="M14" s="74">
        <f t="shared" si="3"/>
        <v>0.302756544179611</v>
      </c>
      <c r="N14" s="74">
        <f t="shared" si="3"/>
        <v>0.302756544179611</v>
      </c>
      <c r="O14" s="74">
        <f t="shared" si="3"/>
        <v>0.2715856307404773</v>
      </c>
      <c r="P14" s="74">
        <f t="shared" si="3"/>
        <v>0.2715856307404773</v>
      </c>
      <c r="Q14" s="74">
        <f t="shared" si="3"/>
        <v>0.2715944633305233</v>
      </c>
    </row>
    <row r="15" spans="2:17" ht="25.5" customHeight="1" thickBot="1">
      <c r="B15" s="251"/>
      <c r="C15" s="45" t="s">
        <v>67</v>
      </c>
      <c r="D15" s="63" t="s">
        <v>66</v>
      </c>
      <c r="E15" s="3">
        <f>'19_Données taux capital'!D4</f>
        <v>0.000825</v>
      </c>
      <c r="F15" s="3">
        <f>'19_Données taux capital'!E4</f>
        <v>0.000825</v>
      </c>
      <c r="G15" s="3">
        <f>'19_Données taux capital'!F4</f>
        <v>0.000825</v>
      </c>
      <c r="H15" s="3">
        <f>'19_Données taux capital'!G4</f>
        <v>0.000825</v>
      </c>
      <c r="I15" s="3">
        <f>'19_Données taux capital'!H4</f>
        <v>0.0008</v>
      </c>
      <c r="J15" s="3">
        <f>'19_Données taux capital'!I4</f>
        <v>0.0008</v>
      </c>
      <c r="K15" s="3">
        <f>'19_Données taux capital'!J4</f>
        <v>0.0008</v>
      </c>
      <c r="L15" s="3">
        <f>'19_Données taux capital'!K4</f>
        <v>0</v>
      </c>
      <c r="M15" s="3">
        <f>'19_Données taux capital'!L4</f>
        <v>0</v>
      </c>
      <c r="N15" s="3">
        <f>'19_Données taux capital'!M4</f>
        <v>0</v>
      </c>
      <c r="O15" s="3">
        <f>'19_Données taux capital'!N4</f>
        <v>0</v>
      </c>
      <c r="P15" s="3">
        <f>'19_Données taux capital'!O4</f>
        <v>0</v>
      </c>
      <c r="Q15" s="3">
        <f>'19_Données taux capital'!P4</f>
        <v>0</v>
      </c>
    </row>
    <row r="16" spans="2:18" ht="25.5" customHeight="1" thickBot="1">
      <c r="B16" s="251"/>
      <c r="C16" s="51" t="s">
        <v>134</v>
      </c>
      <c r="D16" s="63" t="s">
        <v>69</v>
      </c>
      <c r="E16" s="3">
        <f aca="true" t="shared" si="4" ref="E16:Q16">E15*E9</f>
        <v>0.00165</v>
      </c>
      <c r="F16" s="3">
        <f t="shared" si="4"/>
        <v>0.00165</v>
      </c>
      <c r="G16" s="3">
        <f t="shared" si="4"/>
        <v>0.00165</v>
      </c>
      <c r="H16" s="3">
        <f t="shared" si="4"/>
        <v>0.00165</v>
      </c>
      <c r="I16" s="3">
        <f t="shared" si="4"/>
        <v>0.0016</v>
      </c>
      <c r="J16" s="3">
        <f t="shared" si="4"/>
        <v>0.0016</v>
      </c>
      <c r="K16" s="3">
        <f t="shared" si="4"/>
        <v>0.0016</v>
      </c>
      <c r="L16" s="3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3">
        <f t="shared" si="4"/>
        <v>0</v>
      </c>
      <c r="Q16" s="3">
        <f t="shared" si="4"/>
        <v>0</v>
      </c>
      <c r="R16" t="s">
        <v>375</v>
      </c>
    </row>
    <row r="17" spans="2:17" ht="30" customHeight="1" thickBot="1">
      <c r="B17" s="251"/>
      <c r="C17" s="45" t="s">
        <v>70</v>
      </c>
      <c r="D17" s="66" t="s">
        <v>71</v>
      </c>
      <c r="E17" s="3">
        <f>'19_Données taux capital'!D5</f>
        <v>0.0009355</v>
      </c>
      <c r="F17" s="3">
        <f>'19_Données taux capital'!E5</f>
        <v>0.0009355</v>
      </c>
      <c r="G17" s="3">
        <f>'19_Données taux capital'!F5</f>
        <v>0.0009355</v>
      </c>
      <c r="H17" s="3">
        <f>'19_Données taux capital'!G5</f>
        <v>0.0009355</v>
      </c>
      <c r="I17" s="3">
        <f>'19_Données taux capital'!H5</f>
        <v>0.0009355</v>
      </c>
      <c r="J17" s="3">
        <f>'19_Données taux capital'!I5</f>
        <v>0.0009355</v>
      </c>
      <c r="K17" s="3">
        <f>'19_Données taux capital'!J5</f>
        <v>0.0009355</v>
      </c>
      <c r="L17" s="3">
        <f>'19_Données taux capital'!K5</f>
        <v>0.0009355</v>
      </c>
      <c r="M17" s="3">
        <f>'19_Données taux capital'!L5</f>
        <v>0.0009355</v>
      </c>
      <c r="N17" s="3">
        <f>'19_Données taux capital'!M5</f>
        <v>0.0009355</v>
      </c>
      <c r="O17" s="3">
        <f>'19_Données taux capital'!N5</f>
        <v>0.0005</v>
      </c>
      <c r="P17" s="3">
        <f>'19_Données taux capital'!O5</f>
        <v>0.0005</v>
      </c>
      <c r="Q17" s="3">
        <f>'19_Données taux capital'!P5</f>
        <v>0.0003</v>
      </c>
    </row>
    <row r="18" spans="2:17" ht="30" customHeight="1" thickBot="1">
      <c r="B18" s="251"/>
      <c r="C18" s="45" t="s">
        <v>72</v>
      </c>
      <c r="D18" s="80" t="s">
        <v>164</v>
      </c>
      <c r="E18" s="3">
        <f aca="true" t="shared" si="5" ref="E18:Q18">E17*E12</f>
        <v>0.0042866106800000005</v>
      </c>
      <c r="F18" s="3">
        <f t="shared" si="5"/>
        <v>0.004388121785</v>
      </c>
      <c r="G18" s="3">
        <f t="shared" si="5"/>
        <v>0.00438876728</v>
      </c>
      <c r="H18" s="3">
        <f t="shared" si="5"/>
        <v>0.004575867279999999</v>
      </c>
      <c r="I18" s="3">
        <f t="shared" si="5"/>
        <v>0.004482916</v>
      </c>
      <c r="J18" s="3">
        <f t="shared" si="5"/>
        <v>0.004482916</v>
      </c>
      <c r="K18" s="3">
        <f t="shared" si="5"/>
        <v>0.004482916</v>
      </c>
      <c r="L18" s="3">
        <f t="shared" si="5"/>
        <v>0.004482916</v>
      </c>
      <c r="M18" s="3">
        <f t="shared" si="5"/>
        <v>0.004482448249999999</v>
      </c>
      <c r="N18" s="3">
        <f t="shared" si="5"/>
        <v>0.004482448249999999</v>
      </c>
      <c r="O18" s="3">
        <f t="shared" si="5"/>
        <v>0.0023957499999999994</v>
      </c>
      <c r="P18" s="3">
        <f t="shared" si="5"/>
        <v>0.0023957499999999994</v>
      </c>
      <c r="Q18" s="3">
        <f t="shared" si="5"/>
        <v>0.0014374499999999996</v>
      </c>
    </row>
    <row r="19" spans="2:17" ht="29.25" customHeight="1" thickBot="1">
      <c r="B19" s="228"/>
      <c r="C19" s="45" t="s">
        <v>73</v>
      </c>
      <c r="D19" s="63" t="s">
        <v>81</v>
      </c>
      <c r="E19" s="3">
        <f aca="true" t="shared" si="6" ref="E19:Q19">E17*E9*E12</f>
        <v>0.008573221360000001</v>
      </c>
      <c r="F19" s="3">
        <f t="shared" si="6"/>
        <v>0.00877624357</v>
      </c>
      <c r="G19" s="3">
        <f t="shared" si="6"/>
        <v>0.00877753456</v>
      </c>
      <c r="H19" s="3">
        <f t="shared" si="6"/>
        <v>0.009151734559999998</v>
      </c>
      <c r="I19" s="3">
        <f t="shared" si="6"/>
        <v>0.008965832</v>
      </c>
      <c r="J19" s="3">
        <f t="shared" si="6"/>
        <v>0.008965832</v>
      </c>
      <c r="K19" s="3">
        <f t="shared" si="6"/>
        <v>0.008965832</v>
      </c>
      <c r="L19" s="3">
        <f t="shared" si="6"/>
        <v>0.008965832</v>
      </c>
      <c r="M19" s="3">
        <f t="shared" si="6"/>
        <v>0.008964896499999998</v>
      </c>
      <c r="N19" s="3">
        <f t="shared" si="6"/>
        <v>0.008964896499999998</v>
      </c>
      <c r="O19" s="3">
        <f t="shared" si="6"/>
        <v>0.004791499999999999</v>
      </c>
      <c r="P19" s="3">
        <f t="shared" si="6"/>
        <v>0.004791499999999999</v>
      </c>
      <c r="Q19" s="3">
        <f t="shared" si="6"/>
        <v>0.0028748999999999992</v>
      </c>
    </row>
    <row r="20" spans="2:17" ht="30.75" customHeight="1" thickBot="1">
      <c r="B20" s="228"/>
      <c r="C20" s="45" t="s">
        <v>165</v>
      </c>
      <c r="D20" s="63" t="s">
        <v>82</v>
      </c>
      <c r="E20" s="3">
        <f aca="true" t="shared" si="7" ref="E20:Q21">E15+E18</f>
        <v>0.005111610680000001</v>
      </c>
      <c r="F20" s="3">
        <f t="shared" si="7"/>
        <v>0.005213121785</v>
      </c>
      <c r="G20" s="3">
        <f t="shared" si="7"/>
        <v>0.00521376728</v>
      </c>
      <c r="H20" s="3">
        <f t="shared" si="7"/>
        <v>0.005400867279999999</v>
      </c>
      <c r="I20" s="3">
        <f t="shared" si="7"/>
        <v>0.005282916</v>
      </c>
      <c r="J20" s="3">
        <f t="shared" si="7"/>
        <v>0.005282916</v>
      </c>
      <c r="K20" s="3">
        <f t="shared" si="7"/>
        <v>0.005282916</v>
      </c>
      <c r="L20" s="3">
        <f t="shared" si="7"/>
        <v>0.004482916</v>
      </c>
      <c r="M20" s="3">
        <f t="shared" si="7"/>
        <v>0.004482448249999999</v>
      </c>
      <c r="N20" s="3">
        <f t="shared" si="7"/>
        <v>0.004482448249999999</v>
      </c>
      <c r="O20" s="3">
        <f t="shared" si="7"/>
        <v>0.0023957499999999994</v>
      </c>
      <c r="P20" s="3">
        <f t="shared" si="7"/>
        <v>0.0023957499999999994</v>
      </c>
      <c r="Q20" s="3">
        <f t="shared" si="7"/>
        <v>0.0014374499999999996</v>
      </c>
    </row>
    <row r="21" spans="2:17" ht="29.25" customHeight="1" thickBot="1">
      <c r="B21" s="229"/>
      <c r="C21" s="16" t="s">
        <v>74</v>
      </c>
      <c r="D21" s="75" t="s">
        <v>156</v>
      </c>
      <c r="E21" s="74">
        <f t="shared" si="7"/>
        <v>0.010223221360000001</v>
      </c>
      <c r="F21" s="74">
        <f t="shared" si="7"/>
        <v>0.01042624357</v>
      </c>
      <c r="G21" s="74">
        <f t="shared" si="7"/>
        <v>0.01042753456</v>
      </c>
      <c r="H21" s="74">
        <f t="shared" si="7"/>
        <v>0.010801734559999998</v>
      </c>
      <c r="I21" s="74">
        <f t="shared" si="7"/>
        <v>0.010565832</v>
      </c>
      <c r="J21" s="74">
        <f t="shared" si="7"/>
        <v>0.010565832</v>
      </c>
      <c r="K21" s="74">
        <f t="shared" si="7"/>
        <v>0.010565832</v>
      </c>
      <c r="L21" s="74">
        <f t="shared" si="7"/>
        <v>0.008965832</v>
      </c>
      <c r="M21" s="74">
        <f t="shared" si="7"/>
        <v>0.008964896499999998</v>
      </c>
      <c r="N21" s="74">
        <f t="shared" si="7"/>
        <v>0.008964896499999998</v>
      </c>
      <c r="O21" s="74">
        <f t="shared" si="7"/>
        <v>0.004791499999999999</v>
      </c>
      <c r="P21" s="74">
        <f t="shared" si="7"/>
        <v>0.004791499999999999</v>
      </c>
      <c r="Q21" s="74">
        <f t="shared" si="7"/>
        <v>0.0028748999999999992</v>
      </c>
    </row>
    <row r="22" spans="2:17" ht="11.25" customHeight="1" thickBot="1">
      <c r="B22" s="87"/>
      <c r="C22" s="83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2:17" ht="18" thickBot="1">
      <c r="B23" s="226" t="s">
        <v>212</v>
      </c>
      <c r="C23" s="6" t="s">
        <v>75</v>
      </c>
      <c r="D23" s="49" t="s">
        <v>145</v>
      </c>
      <c r="E23" s="50">
        <f aca="true" t="shared" si="8" ref="E23:Q23">E14*(1-E21)/(1+E14)</f>
        <v>0.2320031967789561</v>
      </c>
      <c r="F23" s="50">
        <f t="shared" si="8"/>
        <v>0.23475406010321845</v>
      </c>
      <c r="G23" s="50">
        <f t="shared" si="8"/>
        <v>0.23477147515925398</v>
      </c>
      <c r="H23" s="50">
        <f t="shared" si="8"/>
        <v>0.2397786107723126</v>
      </c>
      <c r="I23" s="50">
        <f t="shared" si="8"/>
        <v>0.23731379899738608</v>
      </c>
      <c r="J23" s="50">
        <f t="shared" si="8"/>
        <v>0.23731379899738608</v>
      </c>
      <c r="K23" s="50">
        <f t="shared" si="8"/>
        <v>0.23731379899738608</v>
      </c>
      <c r="L23" s="50">
        <f t="shared" si="8"/>
        <v>0.23032626925122462</v>
      </c>
      <c r="M23" s="50">
        <f t="shared" si="8"/>
        <v>0.23031345682879664</v>
      </c>
      <c r="N23" s="50">
        <f t="shared" si="8"/>
        <v>0.23031345682879664</v>
      </c>
      <c r="O23" s="50">
        <f t="shared" si="8"/>
        <v>0.21255692236266524</v>
      </c>
      <c r="P23" s="50">
        <f t="shared" si="8"/>
        <v>0.21255692236266524</v>
      </c>
      <c r="Q23" s="50">
        <f t="shared" si="8"/>
        <v>0.2129717171767067</v>
      </c>
    </row>
    <row r="24" spans="2:17" ht="26.25" thickBot="1">
      <c r="B24" s="251"/>
      <c r="C24" s="6" t="s">
        <v>76</v>
      </c>
      <c r="D24" s="49" t="s">
        <v>147</v>
      </c>
      <c r="E24" s="50">
        <f aca="true" t="shared" si="9" ref="E24:Q24">E21</f>
        <v>0.010223221360000001</v>
      </c>
      <c r="F24" s="50">
        <f t="shared" si="9"/>
        <v>0.01042624357</v>
      </c>
      <c r="G24" s="50">
        <f t="shared" si="9"/>
        <v>0.01042753456</v>
      </c>
      <c r="H24" s="50">
        <f t="shared" si="9"/>
        <v>0.010801734559999998</v>
      </c>
      <c r="I24" s="50">
        <f t="shared" si="9"/>
        <v>0.010565832</v>
      </c>
      <c r="J24" s="50">
        <f t="shared" si="9"/>
        <v>0.010565832</v>
      </c>
      <c r="K24" s="50">
        <f t="shared" si="9"/>
        <v>0.010565832</v>
      </c>
      <c r="L24" s="50">
        <f t="shared" si="9"/>
        <v>0.008965832</v>
      </c>
      <c r="M24" s="50">
        <f t="shared" si="9"/>
        <v>0.008964896499999998</v>
      </c>
      <c r="N24" s="50">
        <f t="shared" si="9"/>
        <v>0.008964896499999998</v>
      </c>
      <c r="O24" s="50">
        <f t="shared" si="9"/>
        <v>0.004791499999999999</v>
      </c>
      <c r="P24" s="50">
        <f t="shared" si="9"/>
        <v>0.004791499999999999</v>
      </c>
      <c r="Q24" s="50">
        <f t="shared" si="9"/>
        <v>0.0028748999999999992</v>
      </c>
    </row>
    <row r="25" spans="2:17" ht="18" thickBot="1">
      <c r="B25" s="251"/>
      <c r="C25" s="6" t="s">
        <v>77</v>
      </c>
      <c r="D25" s="76" t="s">
        <v>146</v>
      </c>
      <c r="E25" s="218">
        <f aca="true" t="shared" si="10" ref="E25:Q25">E23+E24</f>
        <v>0.2422264181389561</v>
      </c>
      <c r="F25" s="50">
        <f t="shared" si="10"/>
        <v>0.24518030367321844</v>
      </c>
      <c r="G25" s="50">
        <f t="shared" si="10"/>
        <v>0.24519900971925399</v>
      </c>
      <c r="H25" s="50">
        <f t="shared" si="10"/>
        <v>0.2505803453323126</v>
      </c>
      <c r="I25" s="50">
        <f t="shared" si="10"/>
        <v>0.24787963099738608</v>
      </c>
      <c r="J25" s="50">
        <f t="shared" si="10"/>
        <v>0.24787963099738608</v>
      </c>
      <c r="K25" s="50">
        <f t="shared" si="10"/>
        <v>0.24787963099738608</v>
      </c>
      <c r="L25" s="50">
        <f t="shared" si="10"/>
        <v>0.23929210125122463</v>
      </c>
      <c r="M25" s="50">
        <f t="shared" si="10"/>
        <v>0.23927835332879663</v>
      </c>
      <c r="N25" s="50">
        <f t="shared" si="10"/>
        <v>0.23927835332879663</v>
      </c>
      <c r="O25" s="50">
        <f t="shared" si="10"/>
        <v>0.21734842236266524</v>
      </c>
      <c r="P25" s="50">
        <f t="shared" si="10"/>
        <v>0.21734842236266524</v>
      </c>
      <c r="Q25" s="50">
        <f t="shared" si="10"/>
        <v>0.2158466171767067</v>
      </c>
    </row>
    <row r="26" spans="2:17" ht="15" thickBot="1">
      <c r="B26" s="251"/>
      <c r="C26" s="112" t="s">
        <v>78</v>
      </c>
      <c r="D26" s="113" t="s">
        <v>113</v>
      </c>
      <c r="E26" s="118">
        <f>'7_Comp_montant_charge fiscal'!D5/1000000</f>
        <v>0.242273</v>
      </c>
      <c r="F26" s="118">
        <f>'7_Comp_montant_charge fiscal'!E5/1000000</f>
        <v>0.245239</v>
      </c>
      <c r="G26" s="118">
        <f>'7_Comp_montant_charge fiscal'!F5/1000000</f>
        <v>0.245264</v>
      </c>
      <c r="H26" s="118">
        <f>'7_Comp_montant_charge fiscal'!G5/1000000</f>
        <v>0.250647</v>
      </c>
      <c r="I26" s="118">
        <f>'7_Comp_montant_charge fiscal'!H5/1000000</f>
        <v>0.247943</v>
      </c>
      <c r="J26" s="118">
        <f>'7_Comp_montant_charge fiscal'!I5/1000000</f>
        <v>0.247943</v>
      </c>
      <c r="K26" s="118">
        <f>'7_Comp_montant_charge fiscal'!J5/1000000</f>
        <v>0.247925</v>
      </c>
      <c r="L26" s="118">
        <f>'7_Comp_montant_charge fiscal'!K5/1000000</f>
        <v>0.239356</v>
      </c>
      <c r="M26" s="118">
        <f>'7_Comp_montant_charge fiscal'!L5/1000000</f>
        <v>0.239338</v>
      </c>
      <c r="N26" s="118">
        <f>'7_Comp_montant_charge fiscal'!M5/1000000</f>
        <v>0.239338</v>
      </c>
      <c r="O26" s="118">
        <f>'7_Comp_montant_charge fiscal'!N5/1000000</f>
        <v>0.217337</v>
      </c>
      <c r="P26" s="118">
        <f>'7_Comp_montant_charge fiscal'!O5/1000000</f>
        <v>0.217337</v>
      </c>
      <c r="Q26" s="118">
        <f>'7_Comp_montant_charge fiscal'!P5/1000000</f>
        <v>0.215834</v>
      </c>
    </row>
    <row r="27" spans="2:17" ht="15" thickBot="1">
      <c r="B27" s="252"/>
      <c r="C27" s="6" t="s">
        <v>79</v>
      </c>
      <c r="D27" s="81" t="s">
        <v>80</v>
      </c>
      <c r="E27" s="146">
        <f>E25-E26</f>
        <v>-4.6581861043892836E-05</v>
      </c>
      <c r="F27" s="146">
        <f>F25-F26</f>
        <v>-5.8696326781570995E-05</v>
      </c>
      <c r="G27" s="146">
        <f aca="true" t="shared" si="11" ref="G27:M27">G25-G26</f>
        <v>-6.499028074602453E-05</v>
      </c>
      <c r="H27" s="146">
        <f t="shared" si="11"/>
        <v>-6.665466768740469E-05</v>
      </c>
      <c r="I27" s="146">
        <f t="shared" si="11"/>
        <v>-6.336900261391665E-05</v>
      </c>
      <c r="J27" s="146">
        <f t="shared" si="11"/>
        <v>-6.336900261391665E-05</v>
      </c>
      <c r="K27" s="146">
        <f t="shared" si="11"/>
        <v>-4.53690026139264E-05</v>
      </c>
      <c r="L27" s="146">
        <f t="shared" si="11"/>
        <v>-6.389874877538171E-05</v>
      </c>
      <c r="M27" s="146">
        <f t="shared" si="11"/>
        <v>-5.9646671203367196E-05</v>
      </c>
      <c r="N27" s="146">
        <f>N25-N26</f>
        <v>-5.9646671203367196E-05</v>
      </c>
      <c r="O27" s="146">
        <f>O25-O26</f>
        <v>1.1422362665242103E-05</v>
      </c>
      <c r="P27" s="146">
        <f>P25-P26</f>
        <v>1.1422362665242103E-05</v>
      </c>
      <c r="Q27" s="146">
        <f>Q25-Q26</f>
        <v>1.2617176706697375E-05</v>
      </c>
    </row>
    <row r="28" ht="11.25">
      <c r="E28" s="10"/>
    </row>
    <row r="29" ht="11.25">
      <c r="E29" s="10"/>
    </row>
  </sheetData>
  <mergeCells count="17">
    <mergeCell ref="B6:B21"/>
    <mergeCell ref="B23:B27"/>
    <mergeCell ref="P4:P5"/>
    <mergeCell ref="L4:L5"/>
    <mergeCell ref="M4:M5"/>
    <mergeCell ref="N4:N5"/>
    <mergeCell ref="I4:I5"/>
    <mergeCell ref="J4:J5"/>
    <mergeCell ref="K4:K5"/>
    <mergeCell ref="Q4:Q5"/>
    <mergeCell ref="B4:D4"/>
    <mergeCell ref="E4:E5"/>
    <mergeCell ref="F4:F5"/>
    <mergeCell ref="G4:G5"/>
    <mergeCell ref="O4:O5"/>
    <mergeCell ref="H4:H5"/>
    <mergeCell ref="B5:C5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R29"/>
  <sheetViews>
    <sheetView workbookViewId="0" topLeftCell="L1">
      <selection activeCell="S9" sqref="S9"/>
    </sheetView>
  </sheetViews>
  <sheetFormatPr defaultColWidth="12" defaultRowHeight="11.25"/>
  <cols>
    <col min="1" max="1" width="6.83203125" style="0" customWidth="1"/>
    <col min="2" max="2" width="12.83203125" style="0" customWidth="1"/>
    <col min="3" max="3" width="53.16015625" style="0" customWidth="1"/>
    <col min="4" max="4" width="38.66015625" style="0" customWidth="1"/>
    <col min="5" max="5" width="15.16015625" style="0" customWidth="1"/>
    <col min="6" max="6" width="13" style="0" customWidth="1"/>
    <col min="7" max="7" width="16.5" style="0" customWidth="1"/>
    <col min="8" max="8" width="18.66015625" style="0" customWidth="1"/>
    <col min="9" max="9" width="16.33203125" style="0" customWidth="1"/>
    <col min="10" max="10" width="15.83203125" style="0" customWidth="1"/>
    <col min="11" max="11" width="16.83203125" style="0" customWidth="1"/>
    <col min="12" max="12" width="13.33203125" style="0" customWidth="1"/>
    <col min="13" max="13" width="17.16015625" style="0" customWidth="1"/>
    <col min="14" max="14" width="16.5" style="0" customWidth="1"/>
    <col min="15" max="15" width="13.33203125" style="0" customWidth="1"/>
  </cols>
  <sheetData>
    <row r="1" ht="11.25">
      <c r="A1" s="122" t="s">
        <v>318</v>
      </c>
    </row>
    <row r="2" ht="15.75">
      <c r="C2" s="52"/>
    </row>
    <row r="3" ht="12" thickBot="1"/>
    <row r="4" spans="2:17" ht="32.25" customHeight="1" thickBot="1">
      <c r="B4" s="242" t="s">
        <v>534</v>
      </c>
      <c r="C4" s="253"/>
      <c r="D4" s="243"/>
      <c r="E4" s="230">
        <v>1991</v>
      </c>
      <c r="F4" s="230">
        <v>1992</v>
      </c>
      <c r="G4" s="230">
        <v>1993</v>
      </c>
      <c r="H4" s="230">
        <v>1994</v>
      </c>
      <c r="I4" s="230">
        <v>1995</v>
      </c>
      <c r="J4" s="230">
        <v>1996</v>
      </c>
      <c r="K4" s="230">
        <v>1997</v>
      </c>
      <c r="L4" s="230">
        <v>1998</v>
      </c>
      <c r="M4" s="230">
        <v>1999</v>
      </c>
      <c r="N4" s="230">
        <v>2000</v>
      </c>
      <c r="O4" s="232">
        <v>2001</v>
      </c>
      <c r="P4" s="232">
        <v>2002</v>
      </c>
      <c r="Q4" s="232">
        <v>2003</v>
      </c>
    </row>
    <row r="5" spans="2:17" ht="18" customHeight="1" thickBot="1">
      <c r="B5" s="249" t="s">
        <v>61</v>
      </c>
      <c r="C5" s="250"/>
      <c r="D5" s="90" t="s">
        <v>204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25"/>
      <c r="P5" s="225"/>
      <c r="Q5" s="225"/>
    </row>
    <row r="6" spans="2:17" ht="18" customHeight="1" thickBot="1">
      <c r="B6" s="226" t="s">
        <v>215</v>
      </c>
      <c r="C6" s="48" t="s">
        <v>210</v>
      </c>
      <c r="D6" s="63" t="s">
        <v>90</v>
      </c>
      <c r="E6" s="54">
        <v>1000000</v>
      </c>
      <c r="F6" s="54">
        <v>1000000</v>
      </c>
      <c r="G6" s="54">
        <v>1000000</v>
      </c>
      <c r="H6" s="54">
        <v>1000000</v>
      </c>
      <c r="I6" s="54">
        <v>1000000</v>
      </c>
      <c r="J6" s="54">
        <v>1000000</v>
      </c>
      <c r="K6" s="54">
        <v>1000000</v>
      </c>
      <c r="L6" s="54">
        <v>1000000</v>
      </c>
      <c r="M6" s="54">
        <v>1000000</v>
      </c>
      <c r="N6" s="54">
        <v>1000000</v>
      </c>
      <c r="O6" s="54">
        <v>1000000</v>
      </c>
      <c r="P6" s="54">
        <v>1000000</v>
      </c>
      <c r="Q6" s="54">
        <v>1000000</v>
      </c>
    </row>
    <row r="7" spans="2:17" ht="18" customHeight="1" thickBot="1">
      <c r="B7" s="251"/>
      <c r="C7" s="48" t="s">
        <v>211</v>
      </c>
      <c r="D7" s="63" t="s">
        <v>91</v>
      </c>
      <c r="E7" s="54">
        <v>2000000</v>
      </c>
      <c r="F7" s="54">
        <v>2000000</v>
      </c>
      <c r="G7" s="54">
        <v>2000000</v>
      </c>
      <c r="H7" s="54">
        <v>2000000</v>
      </c>
      <c r="I7" s="54">
        <v>2000000</v>
      </c>
      <c r="J7" s="54">
        <v>2000000</v>
      </c>
      <c r="K7" s="54">
        <v>2000000</v>
      </c>
      <c r="L7" s="54">
        <v>2000000</v>
      </c>
      <c r="M7" s="54">
        <v>2000000</v>
      </c>
      <c r="N7" s="54">
        <v>2000000</v>
      </c>
      <c r="O7" s="54">
        <v>2000000</v>
      </c>
      <c r="P7" s="54">
        <v>2000000</v>
      </c>
      <c r="Q7" s="54">
        <v>2000000</v>
      </c>
    </row>
    <row r="8" spans="2:17" ht="18" customHeight="1" thickBot="1">
      <c r="B8" s="251"/>
      <c r="C8" s="64" t="s">
        <v>114</v>
      </c>
      <c r="D8" s="65" t="s">
        <v>115</v>
      </c>
      <c r="E8" s="55">
        <f aca="true" t="shared" si="0" ref="E8:Q8">E6/E7</f>
        <v>0.5</v>
      </c>
      <c r="F8" s="55">
        <f t="shared" si="0"/>
        <v>0.5</v>
      </c>
      <c r="G8" s="55">
        <f t="shared" si="0"/>
        <v>0.5</v>
      </c>
      <c r="H8" s="55">
        <f t="shared" si="0"/>
        <v>0.5</v>
      </c>
      <c r="I8" s="55">
        <f t="shared" si="0"/>
        <v>0.5</v>
      </c>
      <c r="J8" s="55">
        <f t="shared" si="0"/>
        <v>0.5</v>
      </c>
      <c r="K8" s="55">
        <f t="shared" si="0"/>
        <v>0.5</v>
      </c>
      <c r="L8" s="55">
        <f t="shared" si="0"/>
        <v>0.5</v>
      </c>
      <c r="M8" s="55">
        <f t="shared" si="0"/>
        <v>0.5</v>
      </c>
      <c r="N8" s="55">
        <f t="shared" si="0"/>
        <v>0.5</v>
      </c>
      <c r="O8" s="55">
        <f t="shared" si="0"/>
        <v>0.5</v>
      </c>
      <c r="P8" s="55">
        <f t="shared" si="0"/>
        <v>0.5</v>
      </c>
      <c r="Q8" s="55">
        <f t="shared" si="0"/>
        <v>0.5</v>
      </c>
    </row>
    <row r="9" spans="2:17" ht="18" customHeight="1" thickBot="1">
      <c r="B9" s="251"/>
      <c r="C9" s="64" t="s">
        <v>116</v>
      </c>
      <c r="D9" s="65" t="s">
        <v>117</v>
      </c>
      <c r="E9" s="56">
        <f aca="true" t="shared" si="1" ref="E9:Q9">1/E8</f>
        <v>2</v>
      </c>
      <c r="F9" s="56">
        <f t="shared" si="1"/>
        <v>2</v>
      </c>
      <c r="G9" s="56">
        <f t="shared" si="1"/>
        <v>2</v>
      </c>
      <c r="H9" s="56">
        <f t="shared" si="1"/>
        <v>2</v>
      </c>
      <c r="I9" s="56">
        <f t="shared" si="1"/>
        <v>2</v>
      </c>
      <c r="J9" s="56">
        <f t="shared" si="1"/>
        <v>2</v>
      </c>
      <c r="K9" s="56">
        <f t="shared" si="1"/>
        <v>2</v>
      </c>
      <c r="L9" s="56">
        <f t="shared" si="1"/>
        <v>2</v>
      </c>
      <c r="M9" s="56">
        <f t="shared" si="1"/>
        <v>2</v>
      </c>
      <c r="N9" s="56">
        <f t="shared" si="1"/>
        <v>2</v>
      </c>
      <c r="O9" s="56">
        <f t="shared" si="1"/>
        <v>2</v>
      </c>
      <c r="P9" s="56">
        <f t="shared" si="1"/>
        <v>2</v>
      </c>
      <c r="Q9" s="56">
        <f t="shared" si="1"/>
        <v>2</v>
      </c>
    </row>
    <row r="10" spans="2:17" ht="18" customHeight="1" thickBot="1">
      <c r="B10" s="251"/>
      <c r="C10" s="45" t="s">
        <v>155</v>
      </c>
      <c r="D10" s="66" t="s">
        <v>148</v>
      </c>
      <c r="E10" s="3">
        <f>'18_ Données taux bénéfice'!D4</f>
        <v>0.098</v>
      </c>
      <c r="F10" s="3">
        <f>'18_ Données taux bénéfice'!E4</f>
        <v>0.098</v>
      </c>
      <c r="G10" s="3">
        <f>'18_ Données taux bénéfice'!F4</f>
        <v>0.098</v>
      </c>
      <c r="H10" s="3">
        <f>'18_ Données taux bénéfice'!G4</f>
        <v>0.098</v>
      </c>
      <c r="I10" s="3">
        <f>'18_ Données taux bénéfice'!H4</f>
        <v>0.098</v>
      </c>
      <c r="J10" s="3">
        <f>'18_ Données taux bénéfice'!I4</f>
        <v>0.098</v>
      </c>
      <c r="K10" s="3">
        <f>'18_ Données taux bénéfice'!J4</f>
        <v>0.098</v>
      </c>
      <c r="L10" s="3">
        <f>'18_ Données taux bénéfice'!K4</f>
        <v>0.085</v>
      </c>
      <c r="M10" s="3">
        <f>'18_ Données taux bénéfice'!L4</f>
        <v>0.085</v>
      </c>
      <c r="N10" s="3">
        <f>'18_ Données taux bénéfice'!M4</f>
        <v>0.085</v>
      </c>
      <c r="O10" s="3">
        <f>'18_ Données taux bénéfice'!N4</f>
        <v>0.085</v>
      </c>
      <c r="P10" s="3">
        <f>'18_ Données taux bénéfice'!O4</f>
        <v>0.085</v>
      </c>
      <c r="Q10" s="3">
        <f>'18_ Données taux bénéfice'!P4</f>
        <v>0.085</v>
      </c>
    </row>
    <row r="11" spans="2:17" ht="18" customHeight="1" thickBot="1">
      <c r="B11" s="251"/>
      <c r="C11" s="45" t="s">
        <v>130</v>
      </c>
      <c r="D11" s="66" t="s">
        <v>149</v>
      </c>
      <c r="E11" s="3">
        <f>'18_ Données taux bénéfice'!D5</f>
        <v>0.04655</v>
      </c>
      <c r="F11" s="3">
        <f>'18_ Données taux bénéfice'!E5</f>
        <v>0.04655</v>
      </c>
      <c r="G11" s="3">
        <f>'18_ Données taux bénéfice'!F5</f>
        <v>0.04655</v>
      </c>
      <c r="H11" s="3">
        <f>'18_ Données taux bénéfice'!G5</f>
        <v>0.04655</v>
      </c>
      <c r="I11" s="3">
        <f>'18_ Données taux bénéfice'!H5</f>
        <v>0.04655</v>
      </c>
      <c r="J11" s="3">
        <f>'18_ Données taux bénéfice'!I5</f>
        <v>0.04655</v>
      </c>
      <c r="K11" s="3">
        <f>'18_ Données taux bénéfice'!J5</f>
        <v>0.04655</v>
      </c>
      <c r="L11" s="3">
        <f>'18_ Données taux bénéfice'!K5</f>
        <v>0.04655</v>
      </c>
      <c r="M11" s="3">
        <f>'18_ Données taux bénéfice'!L5</f>
        <v>0.04655</v>
      </c>
      <c r="N11" s="3">
        <f>'18_ Données taux bénéfice'!M5</f>
        <v>0.04655</v>
      </c>
      <c r="O11" s="3">
        <f>'18_ Données taux bénéfice'!N5</f>
        <v>0.03915</v>
      </c>
      <c r="P11" s="3">
        <f>'18_ Données taux bénéfice'!O5</f>
        <v>0.03915</v>
      </c>
      <c r="Q11" s="3">
        <f>'18_ Données taux bénéfice'!P5</f>
        <v>0.03915</v>
      </c>
    </row>
    <row r="12" spans="2:17" ht="30.75" customHeight="1" thickBot="1">
      <c r="B12" s="251"/>
      <c r="C12" s="45" t="s">
        <v>131</v>
      </c>
      <c r="D12" s="66" t="s">
        <v>199</v>
      </c>
      <c r="E12" s="8">
        <f>'16_Multiplicateurs '!D7</f>
        <v>4.58216</v>
      </c>
      <c r="F12" s="8">
        <f>'16_Multiplicateurs '!E7</f>
        <v>4.69067</v>
      </c>
      <c r="G12" s="8">
        <f>'16_Multiplicateurs '!F7</f>
        <v>4.6913599999999995</v>
      </c>
      <c r="H12" s="8">
        <f>'16_Multiplicateurs '!G7</f>
        <v>4.891359999999999</v>
      </c>
      <c r="I12" s="8">
        <f>'16_Multiplicateurs '!H7</f>
        <v>4.792</v>
      </c>
      <c r="J12" s="8">
        <f>'16_Multiplicateurs '!I7</f>
        <v>4.792</v>
      </c>
      <c r="K12" s="8">
        <f>'16_Multiplicateurs '!J7</f>
        <v>4.792</v>
      </c>
      <c r="L12" s="8">
        <f>'16_Multiplicateurs '!K7</f>
        <v>4.792</v>
      </c>
      <c r="M12" s="8">
        <f>'16_Multiplicateurs '!L7</f>
        <v>4.791499999999999</v>
      </c>
      <c r="N12" s="8">
        <f>'16_Multiplicateurs '!M7</f>
        <v>4.791499999999999</v>
      </c>
      <c r="O12" s="8">
        <f>'16_Multiplicateurs '!N7</f>
        <v>4.791499999999999</v>
      </c>
      <c r="P12" s="8">
        <f>'16_Multiplicateurs '!O7</f>
        <v>4.791499999999999</v>
      </c>
      <c r="Q12" s="8">
        <f>'16_Multiplicateurs '!P7</f>
        <v>4.791499999999999</v>
      </c>
    </row>
    <row r="13" spans="2:17" ht="30" customHeight="1" thickBot="1">
      <c r="B13" s="251"/>
      <c r="C13" s="45" t="s">
        <v>132</v>
      </c>
      <c r="D13" s="66" t="s">
        <v>150</v>
      </c>
      <c r="E13" s="5">
        <f aca="true" t="shared" si="2" ref="E13:Q13">E11*E12</f>
        <v>0.213299548</v>
      </c>
      <c r="F13" s="5">
        <f t="shared" si="2"/>
        <v>0.2183506885</v>
      </c>
      <c r="G13" s="5">
        <f t="shared" si="2"/>
        <v>0.21838280799999998</v>
      </c>
      <c r="H13" s="5">
        <f t="shared" si="2"/>
        <v>0.22769280799999994</v>
      </c>
      <c r="I13" s="5">
        <f t="shared" si="2"/>
        <v>0.2230676</v>
      </c>
      <c r="J13" s="5">
        <f t="shared" si="2"/>
        <v>0.2230676</v>
      </c>
      <c r="K13" s="5">
        <f t="shared" si="2"/>
        <v>0.2230676</v>
      </c>
      <c r="L13" s="5">
        <f t="shared" si="2"/>
        <v>0.2230676</v>
      </c>
      <c r="M13" s="5">
        <f t="shared" si="2"/>
        <v>0.22304432499999996</v>
      </c>
      <c r="N13" s="5">
        <f t="shared" si="2"/>
        <v>0.22304432499999996</v>
      </c>
      <c r="O13" s="5">
        <f t="shared" si="2"/>
        <v>0.18758722499999997</v>
      </c>
      <c r="P13" s="5">
        <f t="shared" si="2"/>
        <v>0.18758722499999997</v>
      </c>
      <c r="Q13" s="159">
        <f t="shared" si="2"/>
        <v>0.18758722499999997</v>
      </c>
    </row>
    <row r="14" spans="2:17" ht="25.5" customHeight="1" thickBot="1">
      <c r="B14" s="251"/>
      <c r="C14" s="16" t="s">
        <v>133</v>
      </c>
      <c r="D14" s="73" t="s">
        <v>151</v>
      </c>
      <c r="E14" s="74">
        <f aca="true" t="shared" si="3" ref="E14:Q14">E10+E13</f>
        <v>0.31129954800000004</v>
      </c>
      <c r="F14" s="74">
        <f t="shared" si="3"/>
        <v>0.31635068850000003</v>
      </c>
      <c r="G14" s="74">
        <f t="shared" si="3"/>
        <v>0.31638280799999996</v>
      </c>
      <c r="H14" s="74">
        <f t="shared" si="3"/>
        <v>0.32569280799999994</v>
      </c>
      <c r="I14" s="74">
        <f t="shared" si="3"/>
        <v>0.3210676</v>
      </c>
      <c r="J14" s="74">
        <f t="shared" si="3"/>
        <v>0.3210676</v>
      </c>
      <c r="K14" s="74">
        <f t="shared" si="3"/>
        <v>0.3210676</v>
      </c>
      <c r="L14" s="74">
        <f t="shared" si="3"/>
        <v>0.3080676</v>
      </c>
      <c r="M14" s="74">
        <f t="shared" si="3"/>
        <v>0.30804432499999995</v>
      </c>
      <c r="N14" s="74">
        <f t="shared" si="3"/>
        <v>0.30804432499999995</v>
      </c>
      <c r="O14" s="74">
        <f t="shared" si="3"/>
        <v>0.272587225</v>
      </c>
      <c r="P14" s="74">
        <f t="shared" si="3"/>
        <v>0.272587225</v>
      </c>
      <c r="Q14" s="74">
        <f t="shared" si="3"/>
        <v>0.272587225</v>
      </c>
    </row>
    <row r="15" spans="2:17" ht="25.5" customHeight="1" thickBot="1">
      <c r="B15" s="251"/>
      <c r="C15" s="45" t="s">
        <v>67</v>
      </c>
      <c r="D15" s="63" t="s">
        <v>66</v>
      </c>
      <c r="E15" s="3">
        <f>'19_Données taux capital'!D4</f>
        <v>0.000825</v>
      </c>
      <c r="F15" s="3">
        <f>'19_Données taux capital'!E4</f>
        <v>0.000825</v>
      </c>
      <c r="G15" s="3">
        <f>'19_Données taux capital'!F4</f>
        <v>0.000825</v>
      </c>
      <c r="H15" s="3">
        <f>'19_Données taux capital'!G4</f>
        <v>0.000825</v>
      </c>
      <c r="I15" s="3">
        <f>'19_Données taux capital'!H4</f>
        <v>0.0008</v>
      </c>
      <c r="J15" s="3">
        <f>'19_Données taux capital'!I4</f>
        <v>0.0008</v>
      </c>
      <c r="K15" s="3">
        <f>'19_Données taux capital'!J4</f>
        <v>0.0008</v>
      </c>
      <c r="L15" s="3">
        <f>'19_Données taux capital'!K4</f>
        <v>0</v>
      </c>
      <c r="M15" s="3">
        <f>'19_Données taux capital'!L4</f>
        <v>0</v>
      </c>
      <c r="N15" s="3">
        <f>'19_Données taux capital'!M4</f>
        <v>0</v>
      </c>
      <c r="O15" s="3">
        <f>'19_Données taux capital'!N4</f>
        <v>0</v>
      </c>
      <c r="P15" s="3">
        <f>'19_Données taux capital'!O4</f>
        <v>0</v>
      </c>
      <c r="Q15" s="3">
        <f>'19_Données taux capital'!P4</f>
        <v>0</v>
      </c>
    </row>
    <row r="16" spans="2:18" ht="25.5" customHeight="1" thickBot="1">
      <c r="B16" s="251"/>
      <c r="C16" s="51" t="s">
        <v>134</v>
      </c>
      <c r="D16" s="63" t="s">
        <v>69</v>
      </c>
      <c r="E16" s="3">
        <f aca="true" t="shared" si="4" ref="E16:Q16">E15*E9</f>
        <v>0.00165</v>
      </c>
      <c r="F16" s="3">
        <f t="shared" si="4"/>
        <v>0.00165</v>
      </c>
      <c r="G16" s="3">
        <f t="shared" si="4"/>
        <v>0.00165</v>
      </c>
      <c r="H16" s="3">
        <f t="shared" si="4"/>
        <v>0.00165</v>
      </c>
      <c r="I16" s="3">
        <f t="shared" si="4"/>
        <v>0.0016</v>
      </c>
      <c r="J16" s="3">
        <f t="shared" si="4"/>
        <v>0.0016</v>
      </c>
      <c r="K16" s="3">
        <f t="shared" si="4"/>
        <v>0.0016</v>
      </c>
      <c r="L16" s="3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3">
        <f t="shared" si="4"/>
        <v>0</v>
      </c>
      <c r="Q16" s="3">
        <f t="shared" si="4"/>
        <v>0</v>
      </c>
      <c r="R16" t="s">
        <v>375</v>
      </c>
    </row>
    <row r="17" spans="2:17" ht="30" customHeight="1" thickBot="1">
      <c r="B17" s="251"/>
      <c r="C17" s="45" t="s">
        <v>70</v>
      </c>
      <c r="D17" s="66" t="s">
        <v>71</v>
      </c>
      <c r="E17" s="3">
        <f>'19_Données taux capital'!D5</f>
        <v>0.0009355</v>
      </c>
      <c r="F17" s="3">
        <f>'19_Données taux capital'!E5</f>
        <v>0.0009355</v>
      </c>
      <c r="G17" s="3">
        <f>'19_Données taux capital'!F5</f>
        <v>0.0009355</v>
      </c>
      <c r="H17" s="3">
        <f>'19_Données taux capital'!G5</f>
        <v>0.0009355</v>
      </c>
      <c r="I17" s="3">
        <f>'19_Données taux capital'!H5</f>
        <v>0.0009355</v>
      </c>
      <c r="J17" s="3">
        <f>'19_Données taux capital'!I5</f>
        <v>0.0009355</v>
      </c>
      <c r="K17" s="3">
        <f>'19_Données taux capital'!J5</f>
        <v>0.0009355</v>
      </c>
      <c r="L17" s="3">
        <f>'19_Données taux capital'!K5</f>
        <v>0.0009355</v>
      </c>
      <c r="M17" s="3">
        <f>'19_Données taux capital'!L5</f>
        <v>0.0009355</v>
      </c>
      <c r="N17" s="3">
        <f>'19_Données taux capital'!M5</f>
        <v>0.0009355</v>
      </c>
      <c r="O17" s="3">
        <f>'19_Données taux capital'!N5</f>
        <v>0.0005</v>
      </c>
      <c r="P17" s="3">
        <f>'19_Données taux capital'!O5</f>
        <v>0.0005</v>
      </c>
      <c r="Q17" s="3">
        <f>'19_Données taux capital'!P5</f>
        <v>0.0003</v>
      </c>
    </row>
    <row r="18" spans="2:17" ht="30" customHeight="1" thickBot="1">
      <c r="B18" s="251"/>
      <c r="C18" s="45" t="s">
        <v>72</v>
      </c>
      <c r="D18" s="80" t="s">
        <v>164</v>
      </c>
      <c r="E18" s="3">
        <f aca="true" t="shared" si="5" ref="E18:Q18">E17*E12</f>
        <v>0.0042866106800000005</v>
      </c>
      <c r="F18" s="3">
        <f t="shared" si="5"/>
        <v>0.004388121785</v>
      </c>
      <c r="G18" s="3">
        <f t="shared" si="5"/>
        <v>0.00438876728</v>
      </c>
      <c r="H18" s="3">
        <f t="shared" si="5"/>
        <v>0.004575867279999999</v>
      </c>
      <c r="I18" s="3">
        <f t="shared" si="5"/>
        <v>0.004482916</v>
      </c>
      <c r="J18" s="3">
        <f t="shared" si="5"/>
        <v>0.004482916</v>
      </c>
      <c r="K18" s="3">
        <f t="shared" si="5"/>
        <v>0.004482916</v>
      </c>
      <c r="L18" s="3">
        <f t="shared" si="5"/>
        <v>0.004482916</v>
      </c>
      <c r="M18" s="3">
        <f t="shared" si="5"/>
        <v>0.004482448249999999</v>
      </c>
      <c r="N18" s="3">
        <f t="shared" si="5"/>
        <v>0.004482448249999999</v>
      </c>
      <c r="O18" s="3">
        <f t="shared" si="5"/>
        <v>0.0023957499999999994</v>
      </c>
      <c r="P18" s="3">
        <f t="shared" si="5"/>
        <v>0.0023957499999999994</v>
      </c>
      <c r="Q18" s="3">
        <f t="shared" si="5"/>
        <v>0.0014374499999999996</v>
      </c>
    </row>
    <row r="19" spans="2:17" ht="29.25" customHeight="1" thickBot="1">
      <c r="B19" s="228"/>
      <c r="C19" s="45" t="s">
        <v>73</v>
      </c>
      <c r="D19" s="63" t="s">
        <v>81</v>
      </c>
      <c r="E19" s="3">
        <f aca="true" t="shared" si="6" ref="E19:Q19">E17*E9*E12</f>
        <v>0.008573221360000001</v>
      </c>
      <c r="F19" s="3">
        <f t="shared" si="6"/>
        <v>0.00877624357</v>
      </c>
      <c r="G19" s="3">
        <f t="shared" si="6"/>
        <v>0.00877753456</v>
      </c>
      <c r="H19" s="3">
        <f t="shared" si="6"/>
        <v>0.009151734559999998</v>
      </c>
      <c r="I19" s="3">
        <f t="shared" si="6"/>
        <v>0.008965832</v>
      </c>
      <c r="J19" s="3">
        <f t="shared" si="6"/>
        <v>0.008965832</v>
      </c>
      <c r="K19" s="3">
        <f t="shared" si="6"/>
        <v>0.008965832</v>
      </c>
      <c r="L19" s="3">
        <f t="shared" si="6"/>
        <v>0.008965832</v>
      </c>
      <c r="M19" s="3">
        <f t="shared" si="6"/>
        <v>0.008964896499999998</v>
      </c>
      <c r="N19" s="3">
        <f t="shared" si="6"/>
        <v>0.008964896499999998</v>
      </c>
      <c r="O19" s="3">
        <f t="shared" si="6"/>
        <v>0.004791499999999999</v>
      </c>
      <c r="P19" s="3">
        <f t="shared" si="6"/>
        <v>0.004791499999999999</v>
      </c>
      <c r="Q19" s="3">
        <f t="shared" si="6"/>
        <v>0.0028748999999999992</v>
      </c>
    </row>
    <row r="20" spans="2:17" ht="23.25" customHeight="1" thickBot="1">
      <c r="B20" s="228"/>
      <c r="C20" s="45" t="s">
        <v>165</v>
      </c>
      <c r="D20" s="63" t="s">
        <v>82</v>
      </c>
      <c r="E20" s="3">
        <f aca="true" t="shared" si="7" ref="E20:Q20">E15+E18</f>
        <v>0.005111610680000001</v>
      </c>
      <c r="F20" s="3">
        <f t="shared" si="7"/>
        <v>0.005213121785</v>
      </c>
      <c r="G20" s="3">
        <f t="shared" si="7"/>
        <v>0.00521376728</v>
      </c>
      <c r="H20" s="3">
        <f t="shared" si="7"/>
        <v>0.005400867279999999</v>
      </c>
      <c r="I20" s="3">
        <f t="shared" si="7"/>
        <v>0.005282916</v>
      </c>
      <c r="J20" s="3">
        <f t="shared" si="7"/>
        <v>0.005282916</v>
      </c>
      <c r="K20" s="3">
        <f t="shared" si="7"/>
        <v>0.005282916</v>
      </c>
      <c r="L20" s="3">
        <f t="shared" si="7"/>
        <v>0.004482916</v>
      </c>
      <c r="M20" s="3">
        <f t="shared" si="7"/>
        <v>0.004482448249999999</v>
      </c>
      <c r="N20" s="3">
        <f t="shared" si="7"/>
        <v>0.004482448249999999</v>
      </c>
      <c r="O20" s="3">
        <f t="shared" si="7"/>
        <v>0.0023957499999999994</v>
      </c>
      <c r="P20" s="3">
        <f t="shared" si="7"/>
        <v>0.0023957499999999994</v>
      </c>
      <c r="Q20" s="3">
        <f t="shared" si="7"/>
        <v>0.0014374499999999996</v>
      </c>
    </row>
    <row r="21" spans="2:17" ht="29.25" customHeight="1" thickBot="1">
      <c r="B21" s="229"/>
      <c r="C21" s="16" t="s">
        <v>74</v>
      </c>
      <c r="D21" s="75" t="s">
        <v>156</v>
      </c>
      <c r="E21" s="74">
        <f aca="true" t="shared" si="8" ref="E21:Q21">E16+E19</f>
        <v>0.010223221360000001</v>
      </c>
      <c r="F21" s="74">
        <f t="shared" si="8"/>
        <v>0.01042624357</v>
      </c>
      <c r="G21" s="74">
        <f t="shared" si="8"/>
        <v>0.01042753456</v>
      </c>
      <c r="H21" s="74">
        <f t="shared" si="8"/>
        <v>0.010801734559999998</v>
      </c>
      <c r="I21" s="74">
        <f t="shared" si="8"/>
        <v>0.010565832</v>
      </c>
      <c r="J21" s="74">
        <f t="shared" si="8"/>
        <v>0.010565832</v>
      </c>
      <c r="K21" s="74">
        <f t="shared" si="8"/>
        <v>0.010565832</v>
      </c>
      <c r="L21" s="74">
        <f t="shared" si="8"/>
        <v>0.008965832</v>
      </c>
      <c r="M21" s="74">
        <f t="shared" si="8"/>
        <v>0.008964896499999998</v>
      </c>
      <c r="N21" s="74">
        <f t="shared" si="8"/>
        <v>0.008964896499999998</v>
      </c>
      <c r="O21" s="74">
        <f t="shared" si="8"/>
        <v>0.004791499999999999</v>
      </c>
      <c r="P21" s="74">
        <f t="shared" si="8"/>
        <v>0.004791499999999999</v>
      </c>
      <c r="Q21" s="74">
        <f t="shared" si="8"/>
        <v>0.0028748999999999992</v>
      </c>
    </row>
    <row r="22" spans="2:17" ht="11.25" customHeight="1" thickBot="1">
      <c r="B22" s="87"/>
      <c r="C22" s="83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2:17" ht="18" thickBot="1">
      <c r="B23" s="226" t="s">
        <v>212</v>
      </c>
      <c r="C23" s="6" t="s">
        <v>75</v>
      </c>
      <c r="D23" s="49" t="s">
        <v>145</v>
      </c>
      <c r="E23" s="50">
        <f aca="true" t="shared" si="9" ref="E23:Q23">E14*(1-E21)/(1+E14)</f>
        <v>0.23497076947938372</v>
      </c>
      <c r="F23" s="50">
        <f t="shared" si="9"/>
        <v>0.23781834271298125</v>
      </c>
      <c r="G23" s="50">
        <f t="shared" si="9"/>
        <v>0.23783637512788763</v>
      </c>
      <c r="H23" s="50">
        <f t="shared" si="9"/>
        <v>0.24302369206176075</v>
      </c>
      <c r="I23" s="50">
        <f t="shared" si="9"/>
        <v>0.24046858289292444</v>
      </c>
      <c r="J23" s="50">
        <f t="shared" si="9"/>
        <v>0.24046858289292444</v>
      </c>
      <c r="K23" s="50">
        <f t="shared" si="9"/>
        <v>0.24046858289292444</v>
      </c>
      <c r="L23" s="50">
        <f t="shared" si="9"/>
        <v>0.23340194165328826</v>
      </c>
      <c r="M23" s="50">
        <f t="shared" si="9"/>
        <v>0.23338868085296927</v>
      </c>
      <c r="N23" s="50">
        <f t="shared" si="9"/>
        <v>0.23338868085296927</v>
      </c>
      <c r="O23" s="50">
        <f t="shared" si="9"/>
        <v>0.2131729110445946</v>
      </c>
      <c r="P23" s="50">
        <f t="shared" si="9"/>
        <v>0.2131729110445946</v>
      </c>
      <c r="Q23" s="50">
        <f t="shared" si="9"/>
        <v>0.2135834453208875</v>
      </c>
    </row>
    <row r="24" spans="2:17" ht="26.25" thickBot="1">
      <c r="B24" s="251"/>
      <c r="C24" s="6" t="s">
        <v>76</v>
      </c>
      <c r="D24" s="49" t="s">
        <v>147</v>
      </c>
      <c r="E24" s="50">
        <f aca="true" t="shared" si="10" ref="E24:Q24">E21</f>
        <v>0.010223221360000001</v>
      </c>
      <c r="F24" s="50">
        <f t="shared" si="10"/>
        <v>0.01042624357</v>
      </c>
      <c r="G24" s="50">
        <f t="shared" si="10"/>
        <v>0.01042753456</v>
      </c>
      <c r="H24" s="50">
        <f t="shared" si="10"/>
        <v>0.010801734559999998</v>
      </c>
      <c r="I24" s="50">
        <f t="shared" si="10"/>
        <v>0.010565832</v>
      </c>
      <c r="J24" s="50">
        <f t="shared" si="10"/>
        <v>0.010565832</v>
      </c>
      <c r="K24" s="50">
        <f t="shared" si="10"/>
        <v>0.010565832</v>
      </c>
      <c r="L24" s="50">
        <f t="shared" si="10"/>
        <v>0.008965832</v>
      </c>
      <c r="M24" s="50">
        <f t="shared" si="10"/>
        <v>0.008964896499999998</v>
      </c>
      <c r="N24" s="50">
        <f t="shared" si="10"/>
        <v>0.008964896499999998</v>
      </c>
      <c r="O24" s="50">
        <f t="shared" si="10"/>
        <v>0.004791499999999999</v>
      </c>
      <c r="P24" s="50">
        <f t="shared" si="10"/>
        <v>0.004791499999999999</v>
      </c>
      <c r="Q24" s="50">
        <f t="shared" si="10"/>
        <v>0.0028748999999999992</v>
      </c>
    </row>
    <row r="25" spans="2:17" ht="18" thickBot="1">
      <c r="B25" s="251"/>
      <c r="C25" s="6" t="s">
        <v>77</v>
      </c>
      <c r="D25" s="76" t="s">
        <v>146</v>
      </c>
      <c r="E25" s="50">
        <f aca="true" t="shared" si="11" ref="E25:Q25">E23+E24</f>
        <v>0.24519399083938373</v>
      </c>
      <c r="F25" s="50">
        <f t="shared" si="11"/>
        <v>0.24824458628298124</v>
      </c>
      <c r="G25" s="50">
        <f t="shared" si="11"/>
        <v>0.24826390968788764</v>
      </c>
      <c r="H25" s="50">
        <f t="shared" si="11"/>
        <v>0.2538254266217608</v>
      </c>
      <c r="I25" s="50">
        <f t="shared" si="11"/>
        <v>0.25103441489292444</v>
      </c>
      <c r="J25" s="50">
        <f t="shared" si="11"/>
        <v>0.25103441489292444</v>
      </c>
      <c r="K25" s="50">
        <f t="shared" si="11"/>
        <v>0.25103441489292444</v>
      </c>
      <c r="L25" s="50">
        <f t="shared" si="11"/>
        <v>0.24236777365328827</v>
      </c>
      <c r="M25" s="50">
        <f t="shared" si="11"/>
        <v>0.24235357735296925</v>
      </c>
      <c r="N25" s="50">
        <f t="shared" si="11"/>
        <v>0.24235357735296925</v>
      </c>
      <c r="O25" s="50">
        <f t="shared" si="11"/>
        <v>0.2179644110445946</v>
      </c>
      <c r="P25" s="50">
        <f t="shared" si="11"/>
        <v>0.2179644110445946</v>
      </c>
      <c r="Q25" s="50">
        <f t="shared" si="11"/>
        <v>0.21645834532088748</v>
      </c>
    </row>
    <row r="26" spans="2:17" ht="15" thickBot="1">
      <c r="B26" s="251"/>
      <c r="C26" s="112" t="s">
        <v>78</v>
      </c>
      <c r="D26" s="113" t="s">
        <v>113</v>
      </c>
      <c r="E26" s="118">
        <f>'7_Comp_montant_charge fiscal'!D5/1000000</f>
        <v>0.242273</v>
      </c>
      <c r="F26" s="118">
        <f>'7_Comp_montant_charge fiscal'!E5/1000000</f>
        <v>0.245239</v>
      </c>
      <c r="G26" s="118">
        <f>'7_Comp_montant_charge fiscal'!F5/1000000</f>
        <v>0.245264</v>
      </c>
      <c r="H26" s="118">
        <f>'7_Comp_montant_charge fiscal'!G5/1000000</f>
        <v>0.250647</v>
      </c>
      <c r="I26" s="118">
        <f>'7_Comp_montant_charge fiscal'!H5/1000000</f>
        <v>0.247943</v>
      </c>
      <c r="J26" s="118">
        <f>'7_Comp_montant_charge fiscal'!I5/1000000</f>
        <v>0.247943</v>
      </c>
      <c r="K26" s="118">
        <f>'7_Comp_montant_charge fiscal'!J5/1000000</f>
        <v>0.247925</v>
      </c>
      <c r="L26" s="118">
        <f>'7_Comp_montant_charge fiscal'!K5/1000000</f>
        <v>0.239356</v>
      </c>
      <c r="M26" s="118">
        <f>'7_Comp_montant_charge fiscal'!L5/1000000</f>
        <v>0.239338</v>
      </c>
      <c r="N26" s="118">
        <f>'7_Comp_montant_charge fiscal'!M5/1000000</f>
        <v>0.239338</v>
      </c>
      <c r="O26" s="118">
        <f>'7_Comp_montant_charge fiscal'!N5/1000000</f>
        <v>0.217337</v>
      </c>
      <c r="P26" s="118">
        <f>'7_Comp_montant_charge fiscal'!O5/1000000</f>
        <v>0.217337</v>
      </c>
      <c r="Q26" s="118">
        <f>'7_Comp_montant_charge fiscal'!P5/1000000</f>
        <v>0.215834</v>
      </c>
    </row>
    <row r="27" spans="2:17" ht="15" thickBot="1">
      <c r="B27" s="252"/>
      <c r="C27" s="6" t="s">
        <v>79</v>
      </c>
      <c r="D27" s="81" t="s">
        <v>80</v>
      </c>
      <c r="E27" s="146">
        <f>E25-E26</f>
        <v>0.0029209908393837414</v>
      </c>
      <c r="F27" s="146">
        <f>F25-F26</f>
        <v>0.0030055862829812263</v>
      </c>
      <c r="G27" s="146">
        <f aca="true" t="shared" si="12" ref="G27:M27">G25-G26</f>
        <v>0.002999909687887631</v>
      </c>
      <c r="H27" s="146">
        <f t="shared" si="12"/>
        <v>0.003178426621760766</v>
      </c>
      <c r="I27" s="146">
        <f t="shared" si="12"/>
        <v>0.0030914148929244434</v>
      </c>
      <c r="J27" s="146">
        <f t="shared" si="12"/>
        <v>0.0030914148929244434</v>
      </c>
      <c r="K27" s="146">
        <f t="shared" si="12"/>
        <v>0.0031094148929244336</v>
      </c>
      <c r="L27" s="146">
        <f t="shared" si="12"/>
        <v>0.003011773653288252</v>
      </c>
      <c r="M27" s="146">
        <f t="shared" si="12"/>
        <v>0.0030155773529692564</v>
      </c>
      <c r="N27" s="146">
        <f>N25-N26</f>
        <v>0.0030155773529692564</v>
      </c>
      <c r="O27" s="146">
        <f>O25-O26</f>
        <v>0.0006274110445946002</v>
      </c>
      <c r="P27" s="146">
        <f>P25-P26</f>
        <v>0.0006274110445946002</v>
      </c>
      <c r="Q27" s="146">
        <f>Q25-Q26</f>
        <v>0.0006243453208874816</v>
      </c>
    </row>
    <row r="28" ht="11.25">
      <c r="E28" s="10"/>
    </row>
    <row r="29" ht="11.25">
      <c r="E29" s="10"/>
    </row>
  </sheetData>
  <mergeCells count="17">
    <mergeCell ref="I4:I5"/>
    <mergeCell ref="J4:J5"/>
    <mergeCell ref="K4:K5"/>
    <mergeCell ref="B6:B21"/>
    <mergeCell ref="E4:E5"/>
    <mergeCell ref="F4:F5"/>
    <mergeCell ref="G4:G5"/>
    <mergeCell ref="P4:P5"/>
    <mergeCell ref="Q4:Q5"/>
    <mergeCell ref="B23:B27"/>
    <mergeCell ref="B5:C5"/>
    <mergeCell ref="N4:N5"/>
    <mergeCell ref="O4:O5"/>
    <mergeCell ref="B4:D4"/>
    <mergeCell ref="L4:L5"/>
    <mergeCell ref="M4:M5"/>
    <mergeCell ref="H4:H5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P19"/>
  <sheetViews>
    <sheetView workbookViewId="0" topLeftCell="H3">
      <selection activeCell="R7" sqref="R7"/>
    </sheetView>
  </sheetViews>
  <sheetFormatPr defaultColWidth="12" defaultRowHeight="11.25"/>
  <cols>
    <col min="1" max="1" width="5.33203125" style="0" customWidth="1"/>
    <col min="2" max="2" width="30.66015625" style="0" customWidth="1"/>
    <col min="3" max="3" width="25.83203125" style="0" customWidth="1"/>
    <col min="4" max="4" width="12.5" style="0" customWidth="1"/>
    <col min="5" max="5" width="11" style="0" customWidth="1"/>
    <col min="6" max="7" width="10.66015625" style="0" customWidth="1"/>
    <col min="8" max="8" width="11.5" style="0" customWidth="1"/>
    <col min="9" max="9" width="9.33203125" style="0" customWidth="1"/>
    <col min="10" max="10" width="11.83203125" style="0" customWidth="1"/>
    <col min="11" max="11" width="10.33203125" style="0" customWidth="1"/>
    <col min="12" max="12" width="10.66015625" style="0" customWidth="1"/>
    <col min="13" max="13" width="9.66015625" style="0" customWidth="1"/>
    <col min="14" max="14" width="10.5" style="0" customWidth="1"/>
    <col min="15" max="15" width="10.66015625" style="0" customWidth="1"/>
    <col min="16" max="16" width="11" style="0" customWidth="1"/>
  </cols>
  <sheetData>
    <row r="1" spans="1:4" ht="11.25">
      <c r="A1" s="122" t="s">
        <v>318</v>
      </c>
      <c r="D1" s="10"/>
    </row>
    <row r="2" ht="12" thickBot="1"/>
    <row r="3" spans="2:16" ht="41.25" customHeight="1" thickBot="1">
      <c r="B3" s="258" t="s">
        <v>535</v>
      </c>
      <c r="C3" s="243"/>
      <c r="D3" s="111">
        <v>1991</v>
      </c>
      <c r="E3" s="111">
        <v>1992</v>
      </c>
      <c r="F3" s="111">
        <v>1993</v>
      </c>
      <c r="G3" s="111">
        <v>1994</v>
      </c>
      <c r="H3" s="111">
        <v>1995</v>
      </c>
      <c r="I3" s="111">
        <v>1996</v>
      </c>
      <c r="J3" s="111">
        <v>1997</v>
      </c>
      <c r="K3" s="111">
        <v>1998</v>
      </c>
      <c r="L3" s="111">
        <v>1999</v>
      </c>
      <c r="M3" s="111">
        <v>2000</v>
      </c>
      <c r="N3" s="111">
        <v>2001</v>
      </c>
      <c r="O3" s="111">
        <v>2002</v>
      </c>
      <c r="P3" s="111">
        <v>2003</v>
      </c>
    </row>
    <row r="4" spans="2:16" ht="24" customHeight="1" thickBot="1">
      <c r="B4" s="254" t="s">
        <v>256</v>
      </c>
      <c r="C4" s="16" t="s">
        <v>323</v>
      </c>
      <c r="D4" s="57">
        <f>'8_Calcul des montants d''impôt'!D4</f>
        <v>242273.9987804304</v>
      </c>
      <c r="E4" s="57">
        <f>'8_Calcul des montants d''impôt'!E4</f>
        <v>245230.61576035572</v>
      </c>
      <c r="F4" s="57">
        <f>'8_Calcul des montants d''impôt'!F4</f>
        <v>245249.33945597432</v>
      </c>
      <c r="G4" s="57">
        <f>'8_Calcul des montants d''impôt'!G4</f>
        <v>250635.94130981286</v>
      </c>
      <c r="H4" s="57">
        <f>'8_Calcul des montants d''impôt'!H4</f>
        <v>247932.5624166374</v>
      </c>
      <c r="I4" s="57">
        <f>'8_Calcul des montants d''impôt'!I4</f>
        <v>247932.5624166374</v>
      </c>
      <c r="J4" s="57">
        <f>'8_Calcul des montants d''impôt'!J4</f>
        <v>247932.5624166374</v>
      </c>
      <c r="K4" s="57">
        <f>'8_Calcul des montants d''impôt'!K4</f>
        <v>239343.6143206648</v>
      </c>
      <c r="L4" s="57">
        <f>'8_Calcul des montants d''impôt'!L4</f>
        <v>239329.85343250577</v>
      </c>
      <c r="M4" s="57">
        <f>'8_Calcul des montants d''impôt'!M4</f>
        <v>239329.85343250577</v>
      </c>
      <c r="N4" s="57">
        <f>'8_Calcul des montants d''impôt'!N4</f>
        <v>217350.64839836082</v>
      </c>
      <c r="O4" s="57">
        <f>'8_Calcul des montants d''impôt'!O4</f>
        <v>217350.64839836082</v>
      </c>
      <c r="P4" s="57">
        <f>'8_Calcul des montants d''impôt'!P4</f>
        <v>215848.82355145318</v>
      </c>
    </row>
    <row r="5" spans="2:16" ht="20.25" customHeight="1" thickBot="1">
      <c r="B5" s="255"/>
      <c r="C5" s="16" t="s">
        <v>324</v>
      </c>
      <c r="D5" s="121">
        <v>242273</v>
      </c>
      <c r="E5" s="121">
        <v>245239</v>
      </c>
      <c r="F5" s="121">
        <v>245264</v>
      </c>
      <c r="G5" s="121">
        <v>250647</v>
      </c>
      <c r="H5" s="121">
        <v>247943</v>
      </c>
      <c r="I5" s="121">
        <v>247943</v>
      </c>
      <c r="J5" s="121">
        <v>247925</v>
      </c>
      <c r="K5" s="121">
        <v>239356</v>
      </c>
      <c r="L5" s="121">
        <v>239338</v>
      </c>
      <c r="M5" s="121">
        <v>239338</v>
      </c>
      <c r="N5" s="121">
        <v>217337</v>
      </c>
      <c r="O5" s="121">
        <v>217337</v>
      </c>
      <c r="P5" s="121">
        <v>215834</v>
      </c>
    </row>
    <row r="6" spans="2:16" ht="18" customHeight="1" thickBot="1">
      <c r="B6" s="256"/>
      <c r="C6" s="16" t="s">
        <v>255</v>
      </c>
      <c r="D6" s="57">
        <f>D4-D5</f>
        <v>0.9987804304109886</v>
      </c>
      <c r="E6" s="57">
        <f aca="true" t="shared" si="0" ref="E6:P6">E4-E5</f>
        <v>-8.38423964427784</v>
      </c>
      <c r="F6" s="57">
        <f t="shared" si="0"/>
        <v>-14.660544025682611</v>
      </c>
      <c r="G6" s="57">
        <f t="shared" si="0"/>
        <v>-11.058690187142929</v>
      </c>
      <c r="H6" s="57">
        <f t="shared" si="0"/>
        <v>-10.437583362596342</v>
      </c>
      <c r="I6" s="57">
        <f t="shared" si="0"/>
        <v>-10.437583362596342</v>
      </c>
      <c r="J6" s="57">
        <f t="shared" si="0"/>
        <v>7.562416637403658</v>
      </c>
      <c r="K6" s="57">
        <f t="shared" si="0"/>
        <v>-12.385679335187888</v>
      </c>
      <c r="L6" s="57">
        <f t="shared" si="0"/>
        <v>-8.146567494230112</v>
      </c>
      <c r="M6" s="57">
        <f t="shared" si="0"/>
        <v>-8.146567494230112</v>
      </c>
      <c r="N6" s="57">
        <f t="shared" si="0"/>
        <v>13.648398360819556</v>
      </c>
      <c r="O6" s="57">
        <f t="shared" si="0"/>
        <v>13.648398360819556</v>
      </c>
      <c r="P6" s="57">
        <f t="shared" si="0"/>
        <v>14.823551453184336</v>
      </c>
    </row>
    <row r="7" spans="2:16" ht="23.25" customHeight="1" thickBot="1">
      <c r="B7" s="254" t="s">
        <v>258</v>
      </c>
      <c r="C7" s="16" t="s">
        <v>323</v>
      </c>
      <c r="D7" s="57">
        <f>'8_Calcul des montants d''impôt'!D8</f>
        <v>166366.85066091258</v>
      </c>
      <c r="E7" s="57">
        <f>'8_Calcul des montants d''impôt'!E8</f>
        <v>169613.21610487063</v>
      </c>
      <c r="F7" s="57">
        <f>'8_Calcul des montants d''impôt'!F8</f>
        <v>169633.77472265981</v>
      </c>
      <c r="G7" s="57">
        <f>'8_Calcul des montants d''impôt'!G8</f>
        <v>175548.2635581745</v>
      </c>
      <c r="H7" s="57">
        <f>'8_Calcul des montants d''impôt'!H8</f>
        <v>172629.95353346792</v>
      </c>
      <c r="I7" s="57">
        <f>'8_Calcul des montants d''impôt'!I8</f>
        <v>172629.95353346792</v>
      </c>
      <c r="J7" s="57">
        <f>'8_Calcul des montants d''impôt'!J8</f>
        <v>172629.95353346792</v>
      </c>
      <c r="K7" s="57">
        <f>'8_Calcul des montants d''impôt'!K8</f>
        <v>174687.82153792126</v>
      </c>
      <c r="L7" s="57">
        <f>'8_Calcul des montants d''impôt'!L8</f>
        <v>174672.89097426875</v>
      </c>
      <c r="M7" s="57">
        <f>'8_Calcul des montants d''impôt'!M8</f>
        <v>174672.89097426875</v>
      </c>
      <c r="N7" s="57">
        <f>'8_Calcul des montants d''impôt'!N8</f>
        <v>150825.45351222146</v>
      </c>
      <c r="O7" s="57">
        <f>'8_Calcul des montants d''impôt'!O8</f>
        <v>150825.45351222146</v>
      </c>
      <c r="P7" s="57">
        <f>'8_Calcul des montants d''impôt'!P8</f>
        <v>149195.97355332668</v>
      </c>
    </row>
    <row r="8" spans="2:16" ht="19.5" customHeight="1" thickBot="1">
      <c r="B8" s="255"/>
      <c r="C8" s="16" t="s">
        <v>324</v>
      </c>
      <c r="D8" s="121">
        <v>166368</v>
      </c>
      <c r="E8" s="121">
        <v>169619</v>
      </c>
      <c r="F8" s="121">
        <v>169644</v>
      </c>
      <c r="G8" s="121">
        <v>175556</v>
      </c>
      <c r="H8" s="121">
        <v>172637</v>
      </c>
      <c r="I8" s="121">
        <v>172637</v>
      </c>
      <c r="J8" s="121">
        <v>172619</v>
      </c>
      <c r="K8" s="121">
        <v>174697</v>
      </c>
      <c r="L8" s="121">
        <v>174679</v>
      </c>
      <c r="M8" s="121">
        <v>174679</v>
      </c>
      <c r="N8" s="121">
        <v>150816</v>
      </c>
      <c r="O8" s="121">
        <v>150816</v>
      </c>
      <c r="P8" s="121">
        <v>149186</v>
      </c>
    </row>
    <row r="9" spans="2:16" ht="15" customHeight="1" thickBot="1">
      <c r="B9" s="256"/>
      <c r="C9" s="16" t="s">
        <v>255</v>
      </c>
      <c r="D9" s="57">
        <f>D7-D8</f>
        <v>-1.1493390874238685</v>
      </c>
      <c r="E9" s="57">
        <f aca="true" t="shared" si="1" ref="E9:P9">E7-E8</f>
        <v>-5.783895129367011</v>
      </c>
      <c r="F9" s="57">
        <f t="shared" si="1"/>
        <v>-10.22527734018513</v>
      </c>
      <c r="G9" s="57">
        <f t="shared" si="1"/>
        <v>-7.736441825487418</v>
      </c>
      <c r="H9" s="57">
        <f t="shared" si="1"/>
        <v>-7.0464665320760105</v>
      </c>
      <c r="I9" s="57">
        <f t="shared" si="1"/>
        <v>-7.0464665320760105</v>
      </c>
      <c r="J9" s="57">
        <f t="shared" si="1"/>
        <v>10.95353346792399</v>
      </c>
      <c r="K9" s="57">
        <f t="shared" si="1"/>
        <v>-9.17846207873663</v>
      </c>
      <c r="L9" s="57">
        <f t="shared" si="1"/>
        <v>-6.10902573124622</v>
      </c>
      <c r="M9" s="57">
        <f t="shared" si="1"/>
        <v>-6.10902573124622</v>
      </c>
      <c r="N9" s="57">
        <f t="shared" si="1"/>
        <v>9.453512221458368</v>
      </c>
      <c r="O9" s="57">
        <f t="shared" si="1"/>
        <v>9.453512221458368</v>
      </c>
      <c r="P9" s="57">
        <f t="shared" si="1"/>
        <v>9.973553326679394</v>
      </c>
    </row>
    <row r="10" spans="2:16" ht="18" customHeight="1" thickBot="1">
      <c r="B10" s="254" t="s">
        <v>257</v>
      </c>
      <c r="C10" s="16" t="s">
        <v>323</v>
      </c>
      <c r="D10" s="57">
        <f>'8_Calcul des montants d''impôt'!D5</f>
        <v>75907.14811951782</v>
      </c>
      <c r="E10" s="57">
        <f>'8_Calcul des montants d''impôt'!E5</f>
        <v>75617.39965548515</v>
      </c>
      <c r="F10" s="57">
        <f>'8_Calcul des montants d''impôt'!F5</f>
        <v>75615.56473331452</v>
      </c>
      <c r="G10" s="57">
        <f>'8_Calcul des montants d''impôt'!G5</f>
        <v>75087.67775163834</v>
      </c>
      <c r="H10" s="57">
        <f>'8_Calcul des montants d''impôt'!H5</f>
        <v>75302.60888316954</v>
      </c>
      <c r="I10" s="57">
        <f>'8_Calcul des montants d''impôt'!I5</f>
        <v>75302.60888316954</v>
      </c>
      <c r="J10" s="57">
        <f>'8_Calcul des montants d''impôt'!J5</f>
        <v>75302.60888316954</v>
      </c>
      <c r="K10" s="57">
        <f>'8_Calcul des montants d''impôt'!K5</f>
        <v>64655.79278274348</v>
      </c>
      <c r="L10" s="57">
        <f>'8_Calcul des montants d''impôt'!L5</f>
        <v>64656.962458237016</v>
      </c>
      <c r="M10" s="57">
        <f>'8_Calcul des montants d''impôt'!M5</f>
        <v>64656.962458237016</v>
      </c>
      <c r="N10" s="57">
        <f>'8_Calcul des montants d''impôt'!N5</f>
        <v>66525.19488613933</v>
      </c>
      <c r="O10" s="57">
        <f>'8_Calcul des montants d''impôt'!O5</f>
        <v>66525.19488613933</v>
      </c>
      <c r="P10" s="57">
        <f>'8_Calcul des montants d''impôt'!P5</f>
        <v>66652.84999812649</v>
      </c>
    </row>
    <row r="11" spans="2:16" ht="18.75" customHeight="1" thickBot="1">
      <c r="B11" s="255"/>
      <c r="C11" s="16" t="s">
        <v>324</v>
      </c>
      <c r="D11" s="121">
        <v>75905</v>
      </c>
      <c r="E11" s="121">
        <v>75620</v>
      </c>
      <c r="F11" s="121">
        <v>75620</v>
      </c>
      <c r="G11" s="121">
        <v>75091</v>
      </c>
      <c r="H11" s="121">
        <v>75306</v>
      </c>
      <c r="I11" s="121">
        <v>75306</v>
      </c>
      <c r="J11" s="121">
        <v>75306</v>
      </c>
      <c r="K11" s="121">
        <v>64659</v>
      </c>
      <c r="L11" s="121">
        <v>64659</v>
      </c>
      <c r="M11" s="121">
        <v>64659</v>
      </c>
      <c r="N11" s="121">
        <v>66521</v>
      </c>
      <c r="O11" s="121">
        <v>66521</v>
      </c>
      <c r="P11" s="121">
        <v>66648</v>
      </c>
    </row>
    <row r="12" spans="2:16" ht="19.5" customHeight="1" thickBot="1">
      <c r="B12" s="256"/>
      <c r="C12" s="16" t="s">
        <v>255</v>
      </c>
      <c r="D12" s="57">
        <f>D10-D11</f>
        <v>2.148119517820305</v>
      </c>
      <c r="E12" s="57">
        <f aca="true" t="shared" si="2" ref="E12:P12">E10-E11</f>
        <v>-2.6003445148526225</v>
      </c>
      <c r="F12" s="57">
        <f t="shared" si="2"/>
        <v>-4.4352666854829295</v>
      </c>
      <c r="G12" s="57">
        <f t="shared" si="2"/>
        <v>-3.322248361655511</v>
      </c>
      <c r="H12" s="57">
        <f t="shared" si="2"/>
        <v>-3.391116830462124</v>
      </c>
      <c r="I12" s="57">
        <f t="shared" si="2"/>
        <v>-3.391116830462124</v>
      </c>
      <c r="J12" s="57">
        <f t="shared" si="2"/>
        <v>-3.391116830462124</v>
      </c>
      <c r="K12" s="57">
        <f t="shared" si="2"/>
        <v>-3.207217256516742</v>
      </c>
      <c r="L12" s="57">
        <f t="shared" si="2"/>
        <v>-2.037541762983892</v>
      </c>
      <c r="M12" s="57">
        <f t="shared" si="2"/>
        <v>-2.037541762983892</v>
      </c>
      <c r="N12" s="57">
        <f t="shared" si="2"/>
        <v>4.194886139332084</v>
      </c>
      <c r="O12" s="57">
        <f t="shared" si="2"/>
        <v>4.194886139332084</v>
      </c>
      <c r="P12" s="57">
        <f t="shared" si="2"/>
        <v>4.849998126490391</v>
      </c>
    </row>
    <row r="13" spans="2:16" ht="23.25" customHeight="1" thickBot="1">
      <c r="B13" s="257" t="s">
        <v>259</v>
      </c>
      <c r="C13" s="243"/>
      <c r="D13" s="57">
        <v>1000000</v>
      </c>
      <c r="E13" s="57">
        <v>1000000</v>
      </c>
      <c r="F13" s="57">
        <v>1000000</v>
      </c>
      <c r="G13" s="57">
        <v>1000000</v>
      </c>
      <c r="H13" s="57">
        <v>1000000</v>
      </c>
      <c r="I13" s="57">
        <v>1000000</v>
      </c>
      <c r="J13" s="57">
        <v>1000000</v>
      </c>
      <c r="K13" s="57">
        <v>1000000</v>
      </c>
      <c r="L13" s="57">
        <v>1000000</v>
      </c>
      <c r="M13" s="57">
        <v>1000000</v>
      </c>
      <c r="N13" s="57">
        <v>1000000</v>
      </c>
      <c r="O13" s="57">
        <v>1000000</v>
      </c>
      <c r="P13" s="57">
        <v>1000000</v>
      </c>
    </row>
    <row r="14" spans="2:16" ht="13.5" thickBot="1">
      <c r="B14" s="254" t="s">
        <v>264</v>
      </c>
      <c r="C14" s="16" t="s">
        <v>323</v>
      </c>
      <c r="D14" s="123">
        <f>D13-D4</f>
        <v>757726.0012195696</v>
      </c>
      <c r="E14" s="123">
        <f aca="true" t="shared" si="3" ref="E14:P14">E13-E4</f>
        <v>754769.3842396443</v>
      </c>
      <c r="F14" s="123">
        <f t="shared" si="3"/>
        <v>754750.6605440257</v>
      </c>
      <c r="G14" s="123">
        <f t="shared" si="3"/>
        <v>749364.0586901872</v>
      </c>
      <c r="H14" s="123">
        <f t="shared" si="3"/>
        <v>752067.4375833626</v>
      </c>
      <c r="I14" s="123">
        <f t="shared" si="3"/>
        <v>752067.4375833626</v>
      </c>
      <c r="J14" s="123">
        <f t="shared" si="3"/>
        <v>752067.4375833626</v>
      </c>
      <c r="K14" s="123">
        <f t="shared" si="3"/>
        <v>760656.3856793352</v>
      </c>
      <c r="L14" s="123">
        <f t="shared" si="3"/>
        <v>760670.1465674943</v>
      </c>
      <c r="M14" s="123">
        <f t="shared" si="3"/>
        <v>760670.1465674943</v>
      </c>
      <c r="N14" s="123">
        <f t="shared" si="3"/>
        <v>782649.3516016392</v>
      </c>
      <c r="O14" s="123">
        <f t="shared" si="3"/>
        <v>782649.3516016392</v>
      </c>
      <c r="P14" s="123">
        <f t="shared" si="3"/>
        <v>784151.1764485468</v>
      </c>
    </row>
    <row r="15" spans="2:16" ht="13.5" thickBot="1">
      <c r="B15" s="255"/>
      <c r="C15" s="16" t="s">
        <v>324</v>
      </c>
      <c r="D15" s="124">
        <v>757700</v>
      </c>
      <c r="E15" s="124">
        <v>754800</v>
      </c>
      <c r="F15" s="124">
        <v>754800</v>
      </c>
      <c r="G15" s="124">
        <v>749400</v>
      </c>
      <c r="H15" s="124">
        <v>752100</v>
      </c>
      <c r="I15" s="124">
        <v>752100</v>
      </c>
      <c r="J15" s="124">
        <v>752100</v>
      </c>
      <c r="K15" s="124">
        <v>760700</v>
      </c>
      <c r="L15" s="124">
        <v>760700</v>
      </c>
      <c r="M15" s="124">
        <v>760700</v>
      </c>
      <c r="N15" s="124">
        <v>782600</v>
      </c>
      <c r="O15" s="124">
        <v>782600</v>
      </c>
      <c r="P15" s="124">
        <v>784100</v>
      </c>
    </row>
    <row r="16" spans="2:16" ht="25.5" customHeight="1" thickBot="1">
      <c r="B16" s="256"/>
      <c r="C16" s="16" t="s">
        <v>255</v>
      </c>
      <c r="D16" s="57">
        <f>D14-D15</f>
        <v>26.00121956958901</v>
      </c>
      <c r="E16" s="57">
        <f aca="true" t="shared" si="4" ref="E16:P16">E14-E15</f>
        <v>-30.61576035572216</v>
      </c>
      <c r="F16" s="57">
        <f t="shared" si="4"/>
        <v>-49.339455974288285</v>
      </c>
      <c r="G16" s="57">
        <f t="shared" si="4"/>
        <v>-35.94130981282797</v>
      </c>
      <c r="H16" s="57">
        <f t="shared" si="4"/>
        <v>-32.56241663743276</v>
      </c>
      <c r="I16" s="57">
        <f t="shared" si="4"/>
        <v>-32.56241663743276</v>
      </c>
      <c r="J16" s="57">
        <f t="shared" si="4"/>
        <v>-32.56241663743276</v>
      </c>
      <c r="K16" s="57">
        <f t="shared" si="4"/>
        <v>-43.61432066478301</v>
      </c>
      <c r="L16" s="57">
        <f t="shared" si="4"/>
        <v>-29.853432505740784</v>
      </c>
      <c r="M16" s="57">
        <f t="shared" si="4"/>
        <v>-29.853432505740784</v>
      </c>
      <c r="N16" s="57">
        <f t="shared" si="4"/>
        <v>49.351601639180444</v>
      </c>
      <c r="O16" s="57">
        <f t="shared" si="4"/>
        <v>49.351601639180444</v>
      </c>
      <c r="P16" s="57">
        <f t="shared" si="4"/>
        <v>51.176448546815664</v>
      </c>
    </row>
    <row r="17" spans="2:16" ht="13.5" thickBot="1">
      <c r="B17" s="254" t="s">
        <v>265</v>
      </c>
      <c r="C17" s="16" t="s">
        <v>323</v>
      </c>
      <c r="D17" s="123">
        <f>D13-D4</f>
        <v>757726.0012195696</v>
      </c>
      <c r="E17" s="123">
        <f aca="true" t="shared" si="5" ref="E17:P17">E13-E4</f>
        <v>754769.3842396443</v>
      </c>
      <c r="F17" s="123">
        <f t="shared" si="5"/>
        <v>754750.6605440257</v>
      </c>
      <c r="G17" s="123">
        <f t="shared" si="5"/>
        <v>749364.0586901872</v>
      </c>
      <c r="H17" s="123">
        <f t="shared" si="5"/>
        <v>752067.4375833626</v>
      </c>
      <c r="I17" s="123">
        <f t="shared" si="5"/>
        <v>752067.4375833626</v>
      </c>
      <c r="J17" s="123">
        <f t="shared" si="5"/>
        <v>752067.4375833626</v>
      </c>
      <c r="K17" s="123">
        <f t="shared" si="5"/>
        <v>760656.3856793352</v>
      </c>
      <c r="L17" s="123">
        <f t="shared" si="5"/>
        <v>760670.1465674943</v>
      </c>
      <c r="M17" s="123">
        <f t="shared" si="5"/>
        <v>760670.1465674943</v>
      </c>
      <c r="N17" s="123">
        <f t="shared" si="5"/>
        <v>782649.3516016392</v>
      </c>
      <c r="O17" s="123">
        <f t="shared" si="5"/>
        <v>782649.3516016392</v>
      </c>
      <c r="P17" s="123">
        <f t="shared" si="5"/>
        <v>784151.1764485468</v>
      </c>
    </row>
    <row r="18" spans="2:16" ht="13.5" thickBot="1">
      <c r="B18" s="255"/>
      <c r="C18" s="16" t="s">
        <v>324</v>
      </c>
      <c r="D18" s="124">
        <v>757700</v>
      </c>
      <c r="E18" s="124">
        <v>754800</v>
      </c>
      <c r="F18" s="124">
        <v>754800</v>
      </c>
      <c r="G18" s="124">
        <v>749400</v>
      </c>
      <c r="H18" s="124">
        <v>752100</v>
      </c>
      <c r="I18" s="124">
        <v>752100</v>
      </c>
      <c r="J18" s="124">
        <v>752100</v>
      </c>
      <c r="K18" s="124">
        <v>760700</v>
      </c>
      <c r="L18" s="124">
        <v>760700</v>
      </c>
      <c r="M18" s="124">
        <v>760700</v>
      </c>
      <c r="N18" s="124">
        <v>782600</v>
      </c>
      <c r="O18" s="124">
        <v>782600</v>
      </c>
      <c r="P18" s="124">
        <v>784100</v>
      </c>
    </row>
    <row r="19" spans="2:16" ht="13.5" thickBot="1">
      <c r="B19" s="256"/>
      <c r="C19" s="16" t="s">
        <v>255</v>
      </c>
      <c r="D19" s="57">
        <f>D17-D18</f>
        <v>26.00121956958901</v>
      </c>
      <c r="E19" s="57">
        <f aca="true" t="shared" si="6" ref="E19:P19">E17-E18</f>
        <v>-30.61576035572216</v>
      </c>
      <c r="F19" s="57">
        <f t="shared" si="6"/>
        <v>-49.339455974288285</v>
      </c>
      <c r="G19" s="57">
        <f t="shared" si="6"/>
        <v>-35.94130981282797</v>
      </c>
      <c r="H19" s="57">
        <f t="shared" si="6"/>
        <v>-32.56241663743276</v>
      </c>
      <c r="I19" s="57">
        <f t="shared" si="6"/>
        <v>-32.56241663743276</v>
      </c>
      <c r="J19" s="57">
        <f t="shared" si="6"/>
        <v>-32.56241663743276</v>
      </c>
      <c r="K19" s="57">
        <f t="shared" si="6"/>
        <v>-43.61432066478301</v>
      </c>
      <c r="L19" s="57">
        <f t="shared" si="6"/>
        <v>-29.853432505740784</v>
      </c>
      <c r="M19" s="57">
        <f t="shared" si="6"/>
        <v>-29.853432505740784</v>
      </c>
      <c r="N19" s="57">
        <f t="shared" si="6"/>
        <v>49.351601639180444</v>
      </c>
      <c r="O19" s="57">
        <f t="shared" si="6"/>
        <v>49.351601639180444</v>
      </c>
      <c r="P19" s="57">
        <f t="shared" si="6"/>
        <v>51.176448546815664</v>
      </c>
    </row>
  </sheetData>
  <mergeCells count="7">
    <mergeCell ref="B14:B16"/>
    <mergeCell ref="B13:C13"/>
    <mergeCell ref="B17:B19"/>
    <mergeCell ref="B3:C3"/>
    <mergeCell ref="B4:B6"/>
    <mergeCell ref="B7:B9"/>
    <mergeCell ref="B10:B12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col-loc_adm</dc:creator>
  <cp:keywords/>
  <dc:description/>
  <cp:lastModifiedBy>estv-clb</cp:lastModifiedBy>
  <cp:lastPrinted>2004-06-28T09:07:11Z</cp:lastPrinted>
  <dcterms:created xsi:type="dcterms:W3CDTF">2003-05-20T16:41:58Z</dcterms:created>
  <dcterms:modified xsi:type="dcterms:W3CDTF">2005-01-17T16:25:19Z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